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Renton Computers Data Recovery\Index2\TestIndexes\Test29\"/>
    </mc:Choice>
  </mc:AlternateContent>
  <xr:revisionPtr revIDLastSave="0" documentId="13_ncr:1_{0B6E77BF-B872-4FC5-8B88-E28E25045E56}" xr6:coauthVersionLast="47" xr6:coauthVersionMax="47" xr10:uidLastSave="{00000000-0000-0000-0000-000000000000}"/>
  <bookViews>
    <workbookView xWindow="-120" yWindow="-120" windowWidth="29040" windowHeight="15840" activeTab="3" xr2:uid="{933845EA-61EB-4060-B51B-E67C34C1C1D8}"/>
  </bookViews>
  <sheets>
    <sheet name="HEA_A" sheetId="1" r:id="rId1"/>
    <sheet name="HEA_B" sheetId="2" r:id="rId2"/>
    <sheet name="HEA_C" sheetId="3" r:id="rId3"/>
    <sheet name="HEA_D"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4" l="1"/>
  <c r="G73" i="3"/>
  <c r="F72" i="3"/>
  <c r="I12" i="4"/>
  <c r="H13" i="4"/>
  <c r="B10" i="4" s="1"/>
  <c r="B31" i="4" s="1"/>
  <c r="H31" i="4" s="1"/>
  <c r="D26" i="4"/>
  <c r="C26" i="4" s="1"/>
  <c r="E32" i="4"/>
  <c r="E72" i="3"/>
  <c r="D72" i="3"/>
  <c r="C72" i="3"/>
  <c r="F41" i="3"/>
  <c r="B29" i="3"/>
  <c r="E35" i="3" s="1"/>
  <c r="I71" i="3" s="1"/>
  <c r="M56" i="3" s="1"/>
  <c r="G28" i="3"/>
  <c r="J28" i="3" s="1"/>
  <c r="L28" i="3" s="1"/>
  <c r="G27" i="3"/>
  <c r="J27" i="3" s="1"/>
  <c r="L27" i="3" s="1"/>
  <c r="G26" i="3"/>
  <c r="J26" i="3" s="1"/>
  <c r="L26" i="3" s="1"/>
  <c r="G25" i="3"/>
  <c r="J25" i="3" s="1"/>
  <c r="L25" i="3" s="1"/>
  <c r="G24" i="3"/>
  <c r="J24" i="3" s="1"/>
  <c r="L24" i="3" s="1"/>
  <c r="G23" i="3"/>
  <c r="J23" i="3" s="1"/>
  <c r="L23" i="3" s="1"/>
  <c r="G22" i="3"/>
  <c r="J22" i="3" s="1"/>
  <c r="L22" i="3" s="1"/>
  <c r="G21" i="3"/>
  <c r="J21" i="3" s="1"/>
  <c r="L21" i="3" s="1"/>
  <c r="G20" i="3"/>
  <c r="J20" i="3" s="1"/>
  <c r="L20" i="3" s="1"/>
  <c r="G14" i="3"/>
  <c r="J14" i="3" s="1"/>
  <c r="L14" i="3" s="1"/>
  <c r="G13" i="3"/>
  <c r="J13" i="3" s="1"/>
  <c r="L13" i="3" s="1"/>
  <c r="G12" i="3"/>
  <c r="J12" i="3" s="1"/>
  <c r="L12" i="3" s="1"/>
  <c r="G11" i="3"/>
  <c r="J11" i="3" s="1"/>
  <c r="L11" i="3" s="1"/>
  <c r="G10" i="3"/>
  <c r="J10" i="3" s="1"/>
  <c r="L10" i="3" s="1"/>
  <c r="G9" i="3"/>
  <c r="J9" i="3" s="1"/>
  <c r="L9" i="3" s="1"/>
  <c r="G8" i="3"/>
  <c r="J8" i="3" s="1"/>
  <c r="L8" i="3" s="1"/>
  <c r="G7" i="3"/>
  <c r="J7" i="3" s="1"/>
  <c r="L7" i="3" s="1"/>
  <c r="G6" i="3"/>
  <c r="J6" i="3" s="1"/>
  <c r="L6" i="3" s="1"/>
  <c r="G5" i="3"/>
  <c r="J5" i="3" s="1"/>
  <c r="L5" i="3" s="1"/>
  <c r="G4" i="3"/>
  <c r="J4" i="3" s="1"/>
  <c r="L4" i="3" s="1"/>
  <c r="G3" i="3"/>
  <c r="J3" i="3" s="1"/>
  <c r="L3" i="3" s="1"/>
  <c r="G2" i="3"/>
  <c r="J2" i="3" s="1"/>
  <c r="L2" i="3" s="1"/>
  <c r="B15" i="3"/>
  <c r="E34" i="3" s="1"/>
  <c r="I70" i="3" s="1"/>
  <c r="M60" i="3" s="1"/>
  <c r="E74" i="2"/>
  <c r="D74" i="2"/>
  <c r="E70" i="2"/>
  <c r="D70" i="2"/>
  <c r="C74" i="2"/>
  <c r="B74" i="2"/>
  <c r="C70" i="2"/>
  <c r="B70" i="2"/>
  <c r="F66" i="2"/>
  <c r="E66" i="2"/>
  <c r="D66"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3" i="2"/>
  <c r="N2"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M3" i="2"/>
  <c r="M2"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K3" i="2"/>
  <c r="K2" i="2"/>
  <c r="H63" i="2"/>
  <c r="G63" i="2"/>
  <c r="B63" i="2"/>
  <c r="G24" i="1"/>
  <c r="G23" i="1"/>
  <c r="D21" i="1"/>
  <c r="K21" i="1"/>
  <c r="K17" i="1"/>
  <c r="K9" i="1"/>
  <c r="J20" i="1"/>
  <c r="J19" i="1"/>
  <c r="J18" i="1"/>
  <c r="J17" i="1"/>
  <c r="J16" i="1"/>
  <c r="J15" i="1"/>
  <c r="J14" i="1"/>
  <c r="J13" i="1"/>
  <c r="J12" i="1"/>
  <c r="J11" i="1"/>
  <c r="J10" i="1"/>
  <c r="J9" i="1"/>
  <c r="J8" i="1"/>
  <c r="J7" i="1"/>
  <c r="J6" i="1"/>
  <c r="J5" i="1"/>
  <c r="J4" i="1"/>
  <c r="J3" i="1"/>
  <c r="I20" i="1"/>
  <c r="I19" i="1"/>
  <c r="I18" i="1"/>
  <c r="I17" i="1"/>
  <c r="I16" i="1"/>
  <c r="I15" i="1"/>
  <c r="I14" i="1"/>
  <c r="I13" i="1"/>
  <c r="I12" i="1"/>
  <c r="I11" i="1"/>
  <c r="I10" i="1"/>
  <c r="I9" i="1"/>
  <c r="I8" i="1"/>
  <c r="I7" i="1"/>
  <c r="I6" i="1"/>
  <c r="I5" i="1"/>
  <c r="I4" i="1"/>
  <c r="I3" i="1"/>
  <c r="G20" i="1"/>
  <c r="G19" i="1"/>
  <c r="G18" i="1"/>
  <c r="G17" i="1"/>
  <c r="G16" i="1"/>
  <c r="G15" i="1"/>
  <c r="G14" i="1"/>
  <c r="G13" i="1"/>
  <c r="G12" i="1"/>
  <c r="G11" i="1"/>
  <c r="G10" i="1"/>
  <c r="G9" i="1"/>
  <c r="G8" i="1"/>
  <c r="G7" i="1"/>
  <c r="G6" i="1"/>
  <c r="G5" i="1"/>
  <c r="G4" i="1"/>
  <c r="G3" i="1"/>
  <c r="B26" i="4" l="1"/>
  <c r="I10" i="4"/>
  <c r="I9" i="4"/>
  <c r="I11" i="4"/>
  <c r="J11" i="4" s="1"/>
  <c r="C32" i="4" s="1"/>
  <c r="E36" i="3"/>
  <c r="I72" i="3" s="1"/>
  <c r="M52" i="3" s="1"/>
  <c r="L29" i="3"/>
  <c r="L15" i="3"/>
  <c r="N63" i="2"/>
  <c r="I13" i="4" l="1"/>
  <c r="C31" i="4" s="1"/>
  <c r="J9" i="4"/>
  <c r="E41" i="3"/>
  <c r="D35" i="3"/>
  <c r="F35" i="3" s="1"/>
  <c r="D41" i="3"/>
  <c r="C41" i="3" s="1"/>
  <c r="D34" i="3"/>
  <c r="F34" i="3" l="1"/>
  <c r="D36" i="3"/>
  <c r="F36" i="3" s="1"/>
  <c r="J10" i="4"/>
</calcChain>
</file>

<file path=xl/sharedStrings.xml><?xml version="1.0" encoding="utf-8"?>
<sst xmlns="http://schemas.openxmlformats.org/spreadsheetml/2006/main" count="707" uniqueCount="323">
  <si>
    <t>Cowardin Class</t>
  </si>
  <si>
    <t>HEA Category</t>
  </si>
  <si>
    <t>Riverine</t>
  </si>
  <si>
    <t>Shallow Water</t>
  </si>
  <si>
    <t>Pre-construction Condition</t>
  </si>
  <si>
    <t>Acres</t>
  </si>
  <si>
    <t>Existing Functional Value</t>
  </si>
  <si>
    <t>Delta Value</t>
  </si>
  <si>
    <t>DSAYs/Ac</t>
  </si>
  <si>
    <t>DSAYs by Cowardin Class</t>
  </si>
  <si>
    <t>Habitat</t>
  </si>
  <si>
    <t xml:space="preserve">Proposed </t>
  </si>
  <si>
    <t>Palustrine</t>
  </si>
  <si>
    <t>ACM</t>
  </si>
  <si>
    <t>Unvegetated</t>
  </si>
  <si>
    <t>Off-Channel</t>
  </si>
  <si>
    <t>Vegetated</t>
  </si>
  <si>
    <t>Shallow Water riprap/concrete adjacent</t>
  </si>
  <si>
    <t>Shallow Water covered</t>
  </si>
  <si>
    <t>Shallow Water Gravel/rock, degraded</t>
  </si>
  <si>
    <t>ACM piles</t>
  </si>
  <si>
    <t>ACM  covered</t>
  </si>
  <si>
    <t>ACM riprap</t>
  </si>
  <si>
    <t>ACM unvegetated/steep</t>
  </si>
  <si>
    <t>Riparian unvegetated</t>
  </si>
  <si>
    <t>Riparian invasive</t>
  </si>
  <si>
    <t>Riparian native forested</t>
  </si>
  <si>
    <t>Upland unvegetated</t>
  </si>
  <si>
    <t>Riparian invasive vegetated</t>
  </si>
  <si>
    <t>0.9/x = 27.5</t>
  </si>
  <si>
    <t>0.9x/x  = 27.5 x</t>
  </si>
  <si>
    <t>0.9 = 27.5x</t>
  </si>
  <si>
    <t>0.9/0.9 = 27.5x/0.9</t>
  </si>
  <si>
    <t>1 = 30.5555x</t>
  </si>
  <si>
    <t>1/30.5555 = x</t>
  </si>
  <si>
    <t>x = 0.032727</t>
  </si>
  <si>
    <t>Sum Acres</t>
  </si>
  <si>
    <t>Credits/Acres Ratio</t>
  </si>
  <si>
    <t>Source: Linnton Mill Mitigation Bank Prospectus - Appendix A / page 3</t>
  </si>
  <si>
    <t>DSAYs * Acres</t>
  </si>
  <si>
    <t>Totals</t>
  </si>
  <si>
    <t>1/30.5555 = 30.5555x/30.5555</t>
  </si>
  <si>
    <t>Proposed Functional Value *</t>
  </si>
  <si>
    <t>HEA DISCOUNT Rate **</t>
  </si>
  <si>
    <t>used to compare the habitat elements to those criteria and quantify the results?</t>
  </si>
  <si>
    <t xml:space="preserve"> </t>
  </si>
  <si>
    <t>** What is the logic supporting the HEA discount rate being applied?  The HEA logic as I understand it is such that if 50% of the habitat function</t>
  </si>
  <si>
    <t>Acres /Credits Ratio ( &lt;1.00 )</t>
  </si>
  <si>
    <t xml:space="preserve">If that is true, per the calculations above it seems 321-acres of natural resource damages would only receive about 12-acres of compensation.  </t>
  </si>
  <si>
    <t>Sum Credits aka DSAYs</t>
  </si>
  <si>
    <t xml:space="preserve">But in the calculations used here it appears that the end results are an acre / credit ratio &lt; 1, the opposite of the logic stated above.  </t>
  </si>
  <si>
    <t>While I understand from the viewpoint of functional lift &lt; 1 acre / credit ratios can be rationalized, that seems to fly in the face of historical</t>
  </si>
  <si>
    <t>precedent where the precautionary principle has been applied given the uncertainty surrounding the confidence in our achievability of</t>
  </si>
  <si>
    <t xml:space="preserve">* How are the functional values derived?  What criteria are used to calculate the score and what are the field methods </t>
  </si>
  <si>
    <t>Finally, what are the "bonus credits" mentioned in Appendix A and how were they derived?</t>
  </si>
  <si>
    <t xml:space="preserve"> is lost over a year, then twice the remaining undamaged fully functioning acres would be required to replace that lost funtion for that year.</t>
  </si>
  <si>
    <t xml:space="preserve">compensate for it, effectively roughly a 1:1 ratio? That could actually make sense but at the same time would seem a lot of effort went </t>
  </si>
  <si>
    <t xml:space="preserve"> assuming the habitats were all close to 1 when first impacted.  So for every acre of damage,  26.5-credits +/-  will need to be purchased to </t>
  </si>
  <si>
    <t xml:space="preserve"> functional equivalency.  In most cases the standard rule of thumb has been no less than 1:1 acreage replacement.  Is this changing?  Can </t>
  </si>
  <si>
    <t>the Trustees now justify 321-acres  of loss for 12-acres of replacement?  Or maybe the damages will be assessed at a similar rate as the mitigation,</t>
  </si>
  <si>
    <t xml:space="preserve">into generating numbers that end up in a near 1:1 ratio and some really expensive mitigation?  Anyway, I am very curious on hearing </t>
  </si>
  <si>
    <t>the views and interpretations of the Trustees regarding this accounting method.</t>
  </si>
  <si>
    <t>Author: John Marshall</t>
  </si>
  <si>
    <t>HEA Discount Rate</t>
  </si>
  <si>
    <t>Reverse Calculation ***</t>
  </si>
  <si>
    <t>in the original table.</t>
  </si>
  <si>
    <t xml:space="preserve">*** This calculation had to be derived from the data in the original table in Appendix A of the Prospectus as the discount rate was not displayed </t>
  </si>
  <si>
    <t>Polygon #</t>
  </si>
  <si>
    <t>Baseline HEA Habitat Zone</t>
  </si>
  <si>
    <t>1a</t>
  </si>
  <si>
    <t>1b</t>
  </si>
  <si>
    <t>1c</t>
  </si>
  <si>
    <t>2a</t>
  </si>
  <si>
    <t>2b</t>
  </si>
  <si>
    <t>3a</t>
  </si>
  <si>
    <t>3b</t>
  </si>
  <si>
    <t>4a</t>
  </si>
  <si>
    <t>4b</t>
  </si>
  <si>
    <t>5</t>
  </si>
  <si>
    <t>6a</t>
  </si>
  <si>
    <t>6b</t>
  </si>
  <si>
    <t>7a</t>
  </si>
  <si>
    <t>7b</t>
  </si>
  <si>
    <t>8</t>
  </si>
  <si>
    <t>9a</t>
  </si>
  <si>
    <t>9b</t>
  </si>
  <si>
    <t>10a</t>
  </si>
  <si>
    <t>10b</t>
  </si>
  <si>
    <t>11a</t>
  </si>
  <si>
    <t>11b</t>
  </si>
  <si>
    <t>12</t>
  </si>
  <si>
    <t>13a</t>
  </si>
  <si>
    <t>13b</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</si>
  <si>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</si>
  <si>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</si>
  <si>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</si>
  <si>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</si>
  <si>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</si>
  <si>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</si>
  <si>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</si>
  <si>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</si>
  <si>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</si>
  <si>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</si>
  <si>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</si>
  <si>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</si>
  <si>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</si>
  <si>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</si>
  <si>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</si>
  <si>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</si>
  <si>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</si>
  <si>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</si>
  <si>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</si>
  <si>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</si>
  <si>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</si>
  <si>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</si>
  <si>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</si>
  <si>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</si>
  <si>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</si>
  <si>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</si>
  <si>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</si>
  <si>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</si>
  <si>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42a</t>
  </si>
  <si>
    <t>42b</t>
  </si>
  <si>
    <t>43</t>
  </si>
  <si>
    <t>44</t>
  </si>
  <si>
    <t>45</t>
  </si>
  <si>
    <t>46</t>
  </si>
  <si>
    <t>47</t>
  </si>
  <si>
    <t>48</t>
  </si>
  <si>
    <t>49</t>
  </si>
  <si>
    <t>Upland</t>
  </si>
  <si>
    <t>Riparian</t>
  </si>
  <si>
    <t>Shallow</t>
  </si>
  <si>
    <t>Baseline Condition</t>
  </si>
  <si>
    <t>Invasive</t>
  </si>
  <si>
    <t>Grass/Shrub Outside Fldpln</t>
  </si>
  <si>
    <t>Forest Outside Floodplain</t>
  </si>
  <si>
    <t>Piles</t>
  </si>
  <si>
    <r>
      <t>Slope&gt;11</t>
    </r>
    <r>
      <rPr>
        <vertAlign val="superscript"/>
        <sz val="9"/>
        <color theme="1"/>
        <rFont val="Calibri"/>
        <family val="2"/>
        <scheme val="minor"/>
      </rPr>
      <t>0</t>
    </r>
    <r>
      <rPr>
        <sz val="11"/>
        <color theme="1"/>
        <rFont val="Calibri"/>
        <family val="2"/>
        <scheme val="minor"/>
      </rPr>
      <t xml:space="preserve"> Vegetated Invasive</t>
    </r>
  </si>
  <si>
    <t>Riprap</t>
  </si>
  <si>
    <t>Covered--suspended structure</t>
  </si>
  <si>
    <t>Riprap/Seawall in adj. Shoreline</t>
  </si>
  <si>
    <t>Piles in adj. shoreline</t>
  </si>
  <si>
    <t>Baseline HEA Value</t>
  </si>
  <si>
    <t>Proposed HEA Habitat Zone</t>
  </si>
  <si>
    <t>Off Channel</t>
  </si>
  <si>
    <t>Proposed Riverine Mod Cowardin Acres</t>
  </si>
  <si>
    <t>Proposed Palustrine Mod Cowardin Acres</t>
  </si>
  <si>
    <t>Proposed Condition</t>
  </si>
  <si>
    <t>Tributary - cold</t>
  </si>
  <si>
    <t>Forested</t>
  </si>
  <si>
    <r>
      <t>Slope&lt;11</t>
    </r>
    <r>
      <rPr>
        <vertAlign val="superscript"/>
        <sz val="9"/>
        <color theme="1"/>
        <rFont val="Calibri"/>
        <family val="2"/>
        <scheme val="minor"/>
      </rPr>
      <t xml:space="preserve">0  </t>
    </r>
    <r>
      <rPr>
        <sz val="11"/>
        <color theme="1"/>
        <rFont val="Calibri"/>
        <family val="2"/>
        <scheme val="minor"/>
      </rPr>
      <t>Native Vegetation</t>
    </r>
  </si>
  <si>
    <r>
      <t>Slope&lt;11</t>
    </r>
    <r>
      <rPr>
        <vertAlign val="superscript"/>
        <sz val="9"/>
        <color theme="1"/>
        <rFont val="Calibri"/>
        <family val="2"/>
        <scheme val="minor"/>
      </rPr>
      <t>0</t>
    </r>
    <r>
      <rPr>
        <sz val="11"/>
        <color theme="1"/>
        <rFont val="Calibri"/>
        <family val="2"/>
        <scheme val="minor"/>
      </rPr>
      <t xml:space="preserve">  Unvegetated</t>
    </r>
  </si>
  <si>
    <r>
      <t>Slope&lt;11</t>
    </r>
    <r>
      <rPr>
        <vertAlign val="superscript"/>
        <sz val="9"/>
        <color theme="1"/>
        <rFont val="Calibri"/>
        <family val="2"/>
        <scheme val="minor"/>
      </rPr>
      <t>0</t>
    </r>
    <r>
      <rPr>
        <sz val="11"/>
        <color theme="1"/>
        <rFont val="Calibri"/>
        <family val="2"/>
        <scheme val="minor"/>
      </rPr>
      <t xml:space="preserve">  Native Vegetation</t>
    </r>
  </si>
  <si>
    <r>
      <t>Slope&lt;11</t>
    </r>
    <r>
      <rPr>
        <vertAlign val="superscript"/>
        <sz val="9"/>
        <color theme="1"/>
        <rFont val="Calibri"/>
        <family val="2"/>
        <scheme val="minor"/>
      </rPr>
      <t>0</t>
    </r>
    <r>
      <rPr>
        <sz val="11"/>
        <color theme="1"/>
        <rFont val="Calibri"/>
        <family val="2"/>
        <scheme val="minor"/>
      </rPr>
      <t xml:space="preserve"> Unvegetated</t>
    </r>
  </si>
  <si>
    <r>
      <t>Slope&lt;11</t>
    </r>
    <r>
      <rPr>
        <vertAlign val="superscript"/>
        <sz val="9"/>
        <color theme="1"/>
        <rFont val="Calibri"/>
        <family val="2"/>
        <scheme val="minor"/>
      </rPr>
      <t>0</t>
    </r>
    <r>
      <rPr>
        <sz val="11"/>
        <color theme="1"/>
        <rFont val="Calibri"/>
        <family val="2"/>
        <scheme val="minor"/>
      </rPr>
      <t xml:space="preserve"> Native Vegetation</t>
    </r>
  </si>
  <si>
    <t>Natural Substrate</t>
  </si>
  <si>
    <t>Proposed HEA Value</t>
  </si>
  <si>
    <t>Delta HEA Value</t>
  </si>
  <si>
    <t>Source: Linnton Mill Mitigation Bank Instrument - Table C7, C8, C9, and C10.</t>
  </si>
  <si>
    <t>Total DSAYs:</t>
  </si>
  <si>
    <t>TOTAL:</t>
  </si>
  <si>
    <t xml:space="preserve">The HEA mitigation ratios are reportedly calculated such that the impacts or debits are determined in basically the same way as the credits.  </t>
  </si>
  <si>
    <t xml:space="preserve">So if the functional values of the impact acres are roughly the same as the projected final values of the mitigation bank, then the  </t>
  </si>
  <si>
    <t xml:space="preserve">ratio could arguably be less than 1:1 based on functional equivalency alone.  The problem with this logic is that given the state of our </t>
  </si>
  <si>
    <t>knowledge and technical capability in ecological restoration, it is very likely that our projected mitigation success will be overestimated</t>
  </si>
  <si>
    <t>and our estimated level of impact will be underestimated.  In order to avoid the consequences of this uncertainty, it appears the mitigation bank sponsors</t>
  </si>
  <si>
    <t>and the Portland Harbor Superfund Trustees have elected to assume all impact acreage functions will be equivalent to all mitigation bank recovery functions.</t>
  </si>
  <si>
    <t>DSAYS / Acre at Mitigation Bank Site</t>
  </si>
  <si>
    <t>DSAYS / Acre at Impact Site</t>
  </si>
  <si>
    <t>Acreage Replacement Ratio</t>
  </si>
  <si>
    <t>Under this assumption, acreage trade ratios will be 1:1.  The question is will DSAYS be sold as separate credits or as a batched credit based on the acreage replacement ratio?</t>
  </si>
  <si>
    <t>Price Per Credit:</t>
  </si>
  <si>
    <t>Low Range</t>
  </si>
  <si>
    <t>High Range</t>
  </si>
  <si>
    <t xml:space="preserve">Total Mitigation Bank Credit </t>
  </si>
  <si>
    <t xml:space="preserve">Value if DSAYs Sold </t>
  </si>
  <si>
    <t xml:space="preserve"> as Individual Credits:</t>
  </si>
  <si>
    <t xml:space="preserve"> as Batched Credits:</t>
  </si>
  <si>
    <t>Cost Per Debit for 1-Acre Low</t>
  </si>
  <si>
    <t>Cost Per Debit for 1-Acre High</t>
  </si>
  <si>
    <t>SEE HEA_B TAB BELOW FOR POSSIBLE ANSWERS TO SOME OF THESE QUESTIONS.</t>
  </si>
  <si>
    <t>replacement ratio is 1:1 (debit / acre value = credit / acre value).  But if the debit value is less than the projected credit value, the replacement</t>
  </si>
  <si>
    <t>Baseline Habitat Type</t>
  </si>
  <si>
    <t>Years to Full Function</t>
  </si>
  <si>
    <t>DSAYS/Acre</t>
  </si>
  <si>
    <t>Wetland Bonus</t>
  </si>
  <si>
    <t>Post-Construction</t>
  </si>
  <si>
    <t>HEA Function /Habitat Value</t>
  </si>
  <si>
    <t>DSAYs</t>
  </si>
  <si>
    <t>ACM; Covered</t>
  </si>
  <si>
    <t>ACM; Pilings not allowing light</t>
  </si>
  <si>
    <t>ACM; Riprap</t>
  </si>
  <si>
    <t>Riparian; Invasive</t>
  </si>
  <si>
    <t>Riparian; Outside Floodplain; Forested</t>
  </si>
  <si>
    <t>Riparian; Unvegetated/Paved/Buildings</t>
  </si>
  <si>
    <t>Riparian; Outside Floodplain; Grass/Shrub</t>
  </si>
  <si>
    <t>Shallow; covered</t>
  </si>
  <si>
    <t>Shallow; riprap or concrete</t>
  </si>
  <si>
    <t>Shallow; gravel or  natural rock; degraded</t>
  </si>
  <si>
    <t>Upland; Outside Floodplain; Invasive</t>
  </si>
  <si>
    <t>Upland; Unvegetated/Paved/Buildings</t>
  </si>
  <si>
    <t>HEA DELTA</t>
  </si>
  <si>
    <t>Discount Rate</t>
  </si>
  <si>
    <t>N/A</t>
  </si>
  <si>
    <r>
      <t>ACM; slope &lt;11</t>
    </r>
    <r>
      <rPr>
        <vertAlign val="superscript"/>
        <sz val="9"/>
        <color theme="1"/>
        <rFont val="Calibri"/>
        <family val="2"/>
        <scheme val="minor"/>
      </rPr>
      <t xml:space="preserve">o </t>
    </r>
    <r>
      <rPr>
        <sz val="10"/>
        <color theme="1"/>
        <rFont val="Calibri"/>
        <family val="2"/>
        <scheme val="minor"/>
      </rPr>
      <t xml:space="preserve">; </t>
    </r>
    <r>
      <rPr>
        <sz val="11"/>
        <color theme="1"/>
        <rFont val="Calibri"/>
        <family val="2"/>
        <scheme val="minor"/>
      </rPr>
      <t>Unvegetated</t>
    </r>
  </si>
  <si>
    <t>Embayment/cove with tributary</t>
  </si>
  <si>
    <t>Shallow; gravel or natural rock</t>
  </si>
  <si>
    <t>Net Riverine DSAYs Generated:</t>
  </si>
  <si>
    <t>Total Acres</t>
  </si>
  <si>
    <r>
      <t>ACM; slope&gt;11</t>
    </r>
    <r>
      <rPr>
        <vertAlign val="superscript"/>
        <sz val="9"/>
        <color theme="1"/>
        <rFont val="Calibri"/>
        <family val="2"/>
        <scheme val="minor"/>
      </rPr>
      <t>o</t>
    </r>
    <r>
      <rPr>
        <sz val="11"/>
        <color theme="1"/>
        <rFont val="Calibri"/>
        <family val="2"/>
        <scheme val="minor"/>
      </rPr>
      <t>; unvegetated</t>
    </r>
  </si>
  <si>
    <r>
      <t>ACM; slope&gt;11</t>
    </r>
    <r>
      <rPr>
        <vertAlign val="superscript"/>
        <sz val="9"/>
        <color theme="1"/>
        <rFont val="Calibri"/>
        <family val="2"/>
        <scheme val="minor"/>
      </rPr>
      <t>o</t>
    </r>
    <r>
      <rPr>
        <sz val="11"/>
        <color theme="1"/>
        <rFont val="Calibri"/>
        <family val="2"/>
        <scheme val="minor"/>
      </rPr>
      <t>; vegetated invasive</t>
    </r>
  </si>
  <si>
    <t>Upland; Outside Floodplain; Grass/Shrub</t>
  </si>
  <si>
    <t>Net Palustrine DSAYs Generated:</t>
  </si>
  <si>
    <r>
      <t>ACM; slope &lt;11</t>
    </r>
    <r>
      <rPr>
        <vertAlign val="superscript"/>
        <sz val="9"/>
        <color theme="1"/>
        <rFont val="Calibri"/>
        <family val="2"/>
        <scheme val="minor"/>
      </rPr>
      <t xml:space="preserve">o </t>
    </r>
    <r>
      <rPr>
        <sz val="10"/>
        <color theme="1"/>
        <rFont val="Calibri"/>
        <family val="2"/>
        <scheme val="minor"/>
      </rPr>
      <t xml:space="preserve">; </t>
    </r>
    <r>
      <rPr>
        <sz val="11"/>
        <color theme="1"/>
        <rFont val="Calibri"/>
        <family val="2"/>
        <scheme val="minor"/>
      </rPr>
      <t>vegetated native</t>
    </r>
  </si>
  <si>
    <t>Alternative DiscountCapitalization Rates</t>
  </si>
  <si>
    <t>Credit Type</t>
  </si>
  <si>
    <t>DSAYs Needed per Acre of Impact</t>
  </si>
  <si>
    <t>Single-Purpose Credits</t>
  </si>
  <si>
    <t>NRDA credits only</t>
  </si>
  <si>
    <t>Dual Purpose Credits</t>
  </si>
  <si>
    <t>Total</t>
  </si>
  <si>
    <t>CWA/RFL (R) Credits</t>
  </si>
  <si>
    <t>CWA/RFL (P) Credits</t>
  </si>
  <si>
    <t>CERCLA credits or CWA/RFL credits</t>
  </si>
  <si>
    <t>Latitude</t>
  </si>
  <si>
    <t>Longitude</t>
  </si>
  <si>
    <t>LOGICAL GENERAL ORGANIZATION OF TRACKING DEBITS TO CREDITS (DSAYs)</t>
  </si>
  <si>
    <t>TransactionID</t>
  </si>
  <si>
    <t>Jurisdiction</t>
  </si>
  <si>
    <t>TransactionDate</t>
  </si>
  <si>
    <t>ProjectName</t>
  </si>
  <si>
    <t>Permittee</t>
  </si>
  <si>
    <t>TransactionType</t>
  </si>
  <si>
    <t>Permit</t>
  </si>
  <si>
    <t>Credits</t>
  </si>
  <si>
    <t>Linear Feet</t>
  </si>
  <si>
    <t>ImpactQuantity</t>
  </si>
  <si>
    <t>Comments</t>
  </si>
  <si>
    <t>SubPendCount</t>
  </si>
  <si>
    <t>ILFPrgmName</t>
  </si>
  <si>
    <t>Federal</t>
  </si>
  <si>
    <t>State</t>
  </si>
  <si>
    <t>Authorization aka Init</t>
  </si>
  <si>
    <t>Release aka Rel</t>
  </si>
  <si>
    <t>Withdrawal (Sale) aka Wdr</t>
  </si>
  <si>
    <t>Init</t>
  </si>
  <si>
    <t>NRDA</t>
  </si>
  <si>
    <t>LWC-NRD-001 - LWC-NRD-077(.62)</t>
  </si>
  <si>
    <t>Rel</t>
  </si>
  <si>
    <t>Wdr</t>
  </si>
  <si>
    <t>Portland Harbor</t>
  </si>
  <si>
    <t>LWC‐Palustrine‐001 - LWC‐Palustrine (42.22)</t>
  </si>
  <si>
    <t>LWC-NRD-077(.38) - LWC-NRD-242(.53)</t>
  </si>
  <si>
    <t>LWC‐Riverine‐001 - LWC‐Riverine (42.21)</t>
  </si>
  <si>
    <t>LWC‐NRD‐077 (.38) - LWC‐NRD‐099</t>
  </si>
  <si>
    <t>LWC‐NRD‐099 - LWC‐ NRD‐099 (.75)</t>
  </si>
  <si>
    <t>LWC‐Palustrine (42.22) - LWC‐Palustrine (52.34)</t>
  </si>
  <si>
    <t>LWC‐Riverine (042.21) - LWC‐Riverine (52.35)</t>
  </si>
  <si>
    <t>The total number of credits released by the trustees on 11/2/2020 was 11.97. This ledger represents this release of 11.97 credits as 2 releases of 10.12 and 10.14 for a total of 20.26 with a reallocation of 8.29 credits ((10.12+10.14) - 8.29 = 11.97). This ledger accounting was done to shift 8.29 credits from the NRD only category, to potential dual purpose credits</t>
  </si>
  <si>
    <t>LWC‐NRD‐099.75 - LWC‐ NRD‐100.35</t>
  </si>
  <si>
    <t>Potential</t>
  </si>
  <si>
    <t>Running Total</t>
  </si>
  <si>
    <t>RIBITS</t>
  </si>
  <si>
    <t>TALLY</t>
  </si>
  <si>
    <t>Single Purpose NRDA</t>
  </si>
  <si>
    <t>CWA/RFL</t>
  </si>
  <si>
    <t>LIKELY BASED ON DELPHI MODEL</t>
  </si>
  <si>
    <t>CERCLA-NRDA/CWA/RFL - Riverine</t>
  </si>
  <si>
    <t>CERCLA-NRDA/CWA/RFL - Palustrine</t>
  </si>
  <si>
    <t>CERCLA-NRDA</t>
  </si>
  <si>
    <t>PROPOSED MODIFIED RIBITS SCHEMA - SPECIFIC TO ORGANIZATION OF TRACKING DEBITS AND CREDITS (DSAYs) *</t>
  </si>
  <si>
    <t>CERCLA -NRDA</t>
  </si>
  <si>
    <t>DSAYs Needed per Acre of Impact **</t>
  </si>
  <si>
    <t xml:space="preserve">   </t>
  </si>
  <si>
    <t>CreditClassification ***</t>
  </si>
  <si>
    <t xml:space="preserve">** In order to track the acre ratios in each of the credit/debit transactions, it is important that the actual acres data are entered into the database.  The entries displayed here are hypothetical and are based on an assumption of 1:1 acre replacement ratios. </t>
  </si>
  <si>
    <t>They are entered under three different credit classifications to illustrate each of these are evaluated under a different ratio between credits and acres. Please note the existing RIBITS entries do not make actual credit types discernable.</t>
  </si>
  <si>
    <t xml:space="preserve"> to apply recovery options.  Separate recovery options may involve different Federal and State authorities, habitat types, and credit/acre ratios. Splitting rather than lumping these credit classifications will augment efficacious credit and debit tracking. </t>
  </si>
  <si>
    <t xml:space="preserve">* The schema displayed here is a combination of the existing schema used in RIBITS and a proposed schema for your consideration designed to help improve the transparency and utility of the database tracking credits and debits </t>
  </si>
  <si>
    <t>ImpactHUC****</t>
  </si>
  <si>
    <t>Latitude****</t>
  </si>
  <si>
    <t>Longitude****</t>
  </si>
  <si>
    <t xml:space="preserve">****The physical locations of the areas generating credits and debits are crucial data for understanding the cumulaive effects of the mitigation and conservation banking efforts in a given region and for ultimaely evaluating whether the program </t>
  </si>
  <si>
    <t xml:space="preserve"> is meeting its  intended purposes, goals, and  objectives. Fifth-field and Sixth-field HUCs are preferable.</t>
  </si>
  <si>
    <t>Each of the records in the database/spreadsheet should have the appropriate data entered in each of its field categories.  There should be no blank field entries.  While it is true managing data entry can be time consuming and a drain on agency</t>
  </si>
  <si>
    <t xml:space="preserve">database management responsibilities. </t>
  </si>
  <si>
    <t>***All the entries in RIBITS now  classify these transactions under the Natural Resource Damage Assessment (NRDA) umbrella.  But this is not helpful because almost all the transactions fit under this classification. NRDA is the procedure CERCLA uses</t>
  </si>
  <si>
    <t xml:space="preserve">While the 0.03273 discount rate was used to derive the HEA functional scores in the </t>
  </si>
  <si>
    <t>displayed in the Mitigation Banking Instrument.</t>
  </si>
  <si>
    <t>The above data represent the outcome of my best attempt to try and duplicate the outcomes in the tables displayed in the Mitigation Banking Instrument.  These disparities could likely be significantly reduced</t>
  </si>
  <si>
    <t>or altogether eliminated given an opportunity to discuss the application of these procedures with the person(s) originally involved in their design and implementation, with focal interest on the key decisions</t>
  </si>
  <si>
    <t>made (e.g., discount rate(s), pre and post HEA - functional scores, credit type classifications, rounding conventions, etc.).</t>
  </si>
  <si>
    <t>CWA/RFL*****</t>
  </si>
  <si>
    <t xml:space="preserve"> Other recommendations for consideration include but are not necessarily limited to:</t>
  </si>
  <si>
    <t>2. Develop an enterprise file geodatabase to enter, analyze, query, and report the data and host it on ArcGIS OnLine and then integrate it into the above reference web page.</t>
  </si>
  <si>
    <t xml:space="preserve">The above proposed schema and data entry modifications should be considered the minimum set of operations necessary to make this process more transparent and accountable to the Portland Harbor Superfund Clean-up stakeholders. </t>
  </si>
  <si>
    <t>1. Develop a web graphical user interface (web page) connected to an enterprise relational database management system (e.g., Microsoft SQL-Server) to enter, analyze, query, and report the mitigation bank credit and debit related data.</t>
  </si>
  <si>
    <t>For all of the mitigation banks:</t>
  </si>
  <si>
    <t xml:space="preserve">system (rdms) and geodatabase ArcGIS online accounts. </t>
  </si>
  <si>
    <t>4. Make sure maintenance and updates are done routinely, preferably weekly, and that public input can be captured and used to help inform accurate revisions and data additions.</t>
  </si>
  <si>
    <t xml:space="preserve">resources, the power of a database to assist in project / program tracking and success is directly proportional to the amount and quality of data entry.  Therefore, it may be advisable to secure entire staff positions dedicated to meeting these </t>
  </si>
  <si>
    <t>*****If it is possible debits could be made against these mitigation banks that are completely independent of the Portland Harbor Superfund cleanup, their associated data should be entered and managed in separate fields.</t>
  </si>
  <si>
    <t>in the Portland Harbor Superfund Service areas.  All arithmetic calculations used for data entry and output should be saved and archived in digital formats and be made available for review on request.</t>
  </si>
  <si>
    <t xml:space="preserve">3. Have the Portland Harbor Trustee Council (or a responsible designee) host and oversee the secure development and maintenance (CREATE, READ, UPDATE, DELETE - CRUD) of the afore mentioned web page and associated enterprise  relational database management </t>
  </si>
  <si>
    <t>Possible ledger and summary of credit withdrawals discrepency in RIBITS.</t>
  </si>
  <si>
    <t xml:space="preserve">Prospectus, the 0.03 discount rate is more effective at matching the outcomes </t>
  </si>
  <si>
    <t>LOGICAL GENERAL ORGANIZATION OF TRACKING DEBITS TO CREDITS (DSAYs) BASED ON RIBITS LEDGER</t>
  </si>
  <si>
    <t>Withdrawals</t>
  </si>
  <si>
    <t>Entries and</t>
  </si>
  <si>
    <t>Single-Purpose Credits / DSAYs</t>
  </si>
  <si>
    <t>Date</t>
  </si>
  <si>
    <t>Autorized</t>
  </si>
  <si>
    <t>PermitNo</t>
  </si>
  <si>
    <t>Released Remaining</t>
  </si>
  <si>
    <t>Credits / DSAYs</t>
  </si>
  <si>
    <t>Credit / DSAYs</t>
  </si>
  <si>
    <t>Credit / DSAY Type</t>
  </si>
  <si>
    <t>DSAY Debits / Acre Impact</t>
  </si>
  <si>
    <t xml:space="preserve">Total </t>
  </si>
  <si>
    <t>148.91 - 8.29 =  140.62</t>
  </si>
  <si>
    <t>216.1 + 8.29 = 224.39</t>
  </si>
  <si>
    <t>Reallocation to Dual Purpose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</si>
</sst>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Red]0.00"/>
    <numFmt numFmtId="166" formatCode="0.0000;[Red]0.0000"/>
    <numFmt numFmtId="167" formatCode="0.00000"/>
    <numFmt numFmtId="168" formatCode="&quot;$&quot;#,##0.00"/>
  </numFmts>
  <fonts count="9" x14ac:knownFonts="1">
    <font>
      <sz val="11"/>
      <color theme="1"/>
      <name val="Calibri"/>
      <family val="2"/>
      <scheme val="minor"/>
    </font>
    <font>
      <b/>
      <sz val="11"/>
      <color theme="1"/>
      <name val="Calibri"/>
      <family val="2"/>
      <scheme val="minor"/>
    </font>
    <font>
      <vertAlign val="superscript"/>
      <sz val="9"/>
      <color theme="1"/>
      <name val="Calibri"/>
      <family val="2"/>
      <scheme val="minor"/>
    </font>
    <font>
      <sz val="10"/>
      <color theme="1"/>
      <name val="Calibri"/>
      <family val="2"/>
      <scheme val="minor"/>
    </font>
    <font>
      <b/>
      <sz val="14"/>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b/>
      <i/>
      <sz val="12"/>
      <color theme="1"/>
      <name val="Times New Roman"/>
      <family val="1"/>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5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2" borderId="15" xfId="0" applyFill="1" applyBorder="1"/>
    <xf numFmtId="0" fontId="0" fillId="2" borderId="16" xfId="0" applyFill="1" applyBorder="1"/>
    <xf numFmtId="0" fontId="0" fillId="0" borderId="0" xfId="0" applyFill="1" applyBorder="1"/>
    <xf numFmtId="0" fontId="0" fillId="2" borderId="11" xfId="0" applyFill="1" applyBorder="1"/>
    <xf numFmtId="0" fontId="0" fillId="2" borderId="0" xfId="0" applyFill="1" applyBorder="1"/>
    <xf numFmtId="0" fontId="0" fillId="2" borderId="17" xfId="0" applyFill="1" applyBorder="1"/>
    <xf numFmtId="164" fontId="0" fillId="0" borderId="2" xfId="0" applyNumberFormat="1" applyBorder="1"/>
    <xf numFmtId="164" fontId="0" fillId="0" borderId="11" xfId="0" applyNumberFormat="1" applyBorder="1"/>
    <xf numFmtId="164" fontId="0" fillId="0" borderId="5" xfId="0" applyNumberFormat="1" applyBorder="1"/>
    <xf numFmtId="164" fontId="0" fillId="0" borderId="9" xfId="0" applyNumberFormat="1" applyBorder="1"/>
    <xf numFmtId="164" fontId="0" fillId="0" borderId="10" xfId="0" applyNumberFormat="1" applyBorder="1"/>
    <xf numFmtId="164" fontId="0" fillId="0" borderId="12" xfId="0" applyNumberFormat="1" applyBorder="1"/>
    <xf numFmtId="1" fontId="0" fillId="0" borderId="1" xfId="0" applyNumberFormat="1" applyBorder="1"/>
    <xf numFmtId="0" fontId="0" fillId="0" borderId="1" xfId="0" applyFill="1" applyBorder="1"/>
    <xf numFmtId="0" fontId="0" fillId="2" borderId="18" xfId="0" applyFill="1" applyBorder="1"/>
    <xf numFmtId="0" fontId="0" fillId="2" borderId="9" xfId="0" applyFill="1" applyBorder="1"/>
    <xf numFmtId="0" fontId="0" fillId="2" borderId="19" xfId="0" applyFill="1" applyBorder="1"/>
    <xf numFmtId="0" fontId="0" fillId="2" borderId="20" xfId="0" applyFill="1" applyBorder="1"/>
    <xf numFmtId="0" fontId="0" fillId="0" borderId="20" xfId="0" applyBorder="1"/>
    <xf numFmtId="0" fontId="0" fillId="3" borderId="1" xfId="0" applyFill="1" applyBorder="1"/>
    <xf numFmtId="0" fontId="0" fillId="2" borderId="1" xfId="0" applyFill="1" applyBorder="1"/>
    <xf numFmtId="164" fontId="0" fillId="0" borderId="1" xfId="0" applyNumberFormat="1" applyBorder="1"/>
    <xf numFmtId="49" fontId="0" fillId="2" borderId="1" xfId="0" applyNumberFormat="1" applyFill="1" applyBorder="1"/>
    <xf numFmtId="49" fontId="0" fillId="3" borderId="1" xfId="0" applyNumberFormat="1" applyFill="1" applyBorder="1"/>
    <xf numFmtId="49" fontId="0" fillId="0" borderId="1" xfId="0" applyNumberFormat="1" applyBorder="1"/>
    <xf numFmtId="2" fontId="0" fillId="2" borderId="1" xfId="0" applyNumberFormat="1" applyFill="1" applyBorder="1"/>
    <xf numFmtId="2" fontId="0" fillId="3" borderId="1" xfId="0" applyNumberFormat="1" applyFill="1" applyBorder="1"/>
    <xf numFmtId="2" fontId="0" fillId="0" borderId="1" xfId="0" applyNumberFormat="1" applyBorder="1"/>
    <xf numFmtId="0" fontId="0" fillId="3" borderId="1" xfId="0" applyNumberFormat="1" applyFill="1" applyBorder="1"/>
    <xf numFmtId="0" fontId="0" fillId="0" borderId="1" xfId="0" applyNumberFormat="1" applyBorder="1"/>
    <xf numFmtId="165" fontId="0" fillId="2" borderId="1" xfId="0" applyNumberFormat="1" applyFill="1" applyBorder="1"/>
    <xf numFmtId="165" fontId="0" fillId="0" borderId="1" xfId="0" applyNumberFormat="1" applyBorder="1"/>
    <xf numFmtId="166" fontId="0" fillId="0" borderId="1" xfId="0" applyNumberFormat="1" applyBorder="1"/>
    <xf numFmtId="166" fontId="0" fillId="3" borderId="1" xfId="0" applyNumberFormat="1" applyFill="1" applyBorder="1"/>
    <xf numFmtId="166" fontId="0" fillId="2" borderId="1" xfId="0" applyNumberFormat="1" applyFill="1" applyBorder="1"/>
    <xf numFmtId="166" fontId="0" fillId="0" borderId="1" xfId="0" applyNumberFormat="1" applyFill="1" applyBorder="1"/>
    <xf numFmtId="0" fontId="0" fillId="2" borderId="1" xfId="0" applyFill="1" applyBorder="1" applyAlignment="1">
      <alignment horizontal="center"/>
    </xf>
    <xf numFmtId="0" fontId="0" fillId="3" borderId="1" xfId="0" applyFill="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0" fillId="2" borderId="1" xfId="0" applyNumberFormat="1" applyFill="1" applyBorder="1" applyAlignment="1">
      <alignment horizontal="center"/>
    </xf>
    <xf numFmtId="0" fontId="0" fillId="3" borderId="1" xfId="0" applyNumberFormat="1" applyFill="1" applyBorder="1" applyAlignment="1">
      <alignment horizontal="center"/>
    </xf>
    <xf numFmtId="0" fontId="0" fillId="0" borderId="1" xfId="0" applyNumberFormat="1" applyBorder="1" applyAlignment="1">
      <alignment horizontal="center"/>
    </xf>
    <xf numFmtId="167" fontId="0" fillId="2" borderId="1" xfId="0" applyNumberFormat="1" applyFill="1" applyBorder="1"/>
    <xf numFmtId="167" fontId="0" fillId="0" borderId="1" xfId="0" applyNumberFormat="1" applyBorder="1"/>
    <xf numFmtId="0" fontId="1" fillId="0" borderId="1" xfId="0" applyFont="1" applyBorder="1" applyAlignment="1">
      <alignment horizontal="right"/>
    </xf>
    <xf numFmtId="49" fontId="1" fillId="0" borderId="1" xfId="0" applyNumberFormat="1" applyFont="1" applyBorder="1" applyAlignment="1">
      <alignment horizontal="right"/>
    </xf>
    <xf numFmtId="2" fontId="0" fillId="0" borderId="20" xfId="0" applyNumberFormat="1" applyBorder="1"/>
    <xf numFmtId="0" fontId="0" fillId="0" borderId="8" xfId="0" applyBorder="1" applyAlignment="1">
      <alignment horizontal="center"/>
    </xf>
    <xf numFmtId="2" fontId="0" fillId="0" borderId="8" xfId="0" applyNumberFormat="1" applyBorder="1"/>
    <xf numFmtId="0" fontId="0" fillId="0" borderId="8" xfId="0" applyNumberFormat="1" applyBorder="1" applyAlignment="1">
      <alignment horizontal="center"/>
    </xf>
    <xf numFmtId="0" fontId="0" fillId="0" borderId="10" xfId="0" applyBorder="1" applyAlignment="1">
      <alignment horizontal="center"/>
    </xf>
    <xf numFmtId="2" fontId="0" fillId="0" borderId="10" xfId="0" applyNumberFormat="1" applyBorder="1"/>
    <xf numFmtId="2" fontId="0" fillId="0" borderId="4" xfId="0" applyNumberFormat="1" applyBorder="1"/>
    <xf numFmtId="2" fontId="0" fillId="3" borderId="20" xfId="0" applyNumberFormat="1" applyFill="1" applyBorder="1"/>
    <xf numFmtId="49" fontId="0" fillId="0" borderId="8" xfId="0" applyNumberFormat="1" applyBorder="1"/>
    <xf numFmtId="165" fontId="0" fillId="0" borderId="8" xfId="0" applyNumberFormat="1" applyBorder="1"/>
    <xf numFmtId="166" fontId="0" fillId="0" borderId="8" xfId="0" applyNumberFormat="1" applyBorder="1"/>
    <xf numFmtId="49" fontId="0" fillId="0" borderId="10" xfId="0" applyNumberFormat="1" applyBorder="1"/>
    <xf numFmtId="165" fontId="0" fillId="0" borderId="10" xfId="0" applyNumberFormat="1" applyBorder="1"/>
    <xf numFmtId="166" fontId="0" fillId="0" borderId="5" xfId="0" applyNumberFormat="1" applyBorder="1"/>
    <xf numFmtId="0" fontId="0" fillId="3" borderId="10" xfId="0" applyFill="1" applyBorder="1" applyAlignment="1">
      <alignment horizontal="center"/>
    </xf>
    <xf numFmtId="0" fontId="0" fillId="0" borderId="0" xfId="0" applyBorder="1" applyAlignment="1">
      <alignment horizontal="center"/>
    </xf>
    <xf numFmtId="166" fontId="0" fillId="0" borderId="0" xfId="0" applyNumberFormat="1" applyBorder="1" applyAlignment="1">
      <alignment horizontal="center"/>
    </xf>
    <xf numFmtId="168" fontId="0" fillId="0" borderId="0" xfId="0" applyNumberFormat="1" applyFont="1" applyBorder="1" applyAlignment="1">
      <alignment horizontal="center"/>
    </xf>
    <xf numFmtId="168" fontId="0" fillId="0" borderId="0" xfId="0" applyNumberFormat="1" applyBorder="1" applyAlignment="1">
      <alignment horizontal="center"/>
    </xf>
    <xf numFmtId="2" fontId="0" fillId="0" borderId="0" xfId="0" applyNumberFormat="1" applyBorder="1" applyAlignment="1">
      <alignment horizontal="right"/>
    </xf>
    <xf numFmtId="165" fontId="0" fillId="0" borderId="0" xfId="0" applyNumberFormat="1" applyBorder="1"/>
    <xf numFmtId="166" fontId="0" fillId="0" borderId="0" xfId="0" applyNumberFormat="1" applyBorder="1"/>
    <xf numFmtId="168" fontId="0" fillId="0" borderId="0" xfId="0" applyNumberFormat="1" applyBorder="1"/>
    <xf numFmtId="49" fontId="0" fillId="0" borderId="2" xfId="0" applyNumberFormat="1" applyBorder="1"/>
    <xf numFmtId="165" fontId="0" fillId="0" borderId="3" xfId="0" applyNumberFormat="1" applyBorder="1" applyAlignment="1">
      <alignment horizontal="center"/>
    </xf>
    <xf numFmtId="0" fontId="0" fillId="0" borderId="3" xfId="0" applyBorder="1" applyAlignment="1">
      <alignment horizontal="center"/>
    </xf>
    <xf numFmtId="166" fontId="0" fillId="0" borderId="3" xfId="0" applyNumberFormat="1" applyBorder="1" applyAlignment="1">
      <alignment horizontal="center"/>
    </xf>
    <xf numFmtId="0" fontId="0" fillId="0" borderId="4" xfId="0" applyBorder="1" applyAlignment="1">
      <alignment horizontal="center"/>
    </xf>
    <xf numFmtId="49" fontId="1" fillId="0" borderId="11" xfId="0" applyNumberFormat="1" applyFont="1" applyBorder="1" applyAlignment="1">
      <alignment horizontal="right"/>
    </xf>
    <xf numFmtId="0" fontId="0" fillId="0" borderId="12" xfId="0" applyBorder="1" applyAlignment="1">
      <alignment horizontal="center"/>
    </xf>
    <xf numFmtId="49" fontId="0" fillId="0" borderId="11" xfId="0" applyNumberFormat="1" applyBorder="1"/>
    <xf numFmtId="49" fontId="0" fillId="0" borderId="5" xfId="0" applyNumberFormat="1" applyBorder="1"/>
    <xf numFmtId="165" fontId="0" fillId="0" borderId="6" xfId="0" applyNumberFormat="1" applyBorder="1"/>
    <xf numFmtId="0" fontId="0" fillId="0" borderId="6" xfId="0" applyBorder="1" applyAlignment="1">
      <alignment horizontal="center"/>
    </xf>
    <xf numFmtId="166" fontId="0" fillId="0" borderId="6" xfId="0" applyNumberFormat="1" applyBorder="1"/>
    <xf numFmtId="0" fontId="0" fillId="0" borderId="12" xfId="0" applyFill="1" applyBorder="1" applyAlignment="1">
      <alignment horizontal="center"/>
    </xf>
    <xf numFmtId="0" fontId="0" fillId="0" borderId="12" xfId="0" applyFill="1" applyBorder="1" applyAlignment="1">
      <alignment horizontal="left"/>
    </xf>
    <xf numFmtId="0" fontId="0" fillId="0" borderId="7" xfId="0" applyFill="1" applyBorder="1" applyAlignment="1">
      <alignment horizontal="center"/>
    </xf>
    <xf numFmtId="0" fontId="0" fillId="0" borderId="19" xfId="0" applyBorder="1" applyAlignment="1">
      <alignment horizontal="center"/>
    </xf>
    <xf numFmtId="0" fontId="0" fillId="0" borderId="20" xfId="0" applyNumberFormat="1" applyBorder="1" applyAlignment="1">
      <alignment horizontal="center"/>
    </xf>
    <xf numFmtId="166" fontId="0" fillId="0" borderId="2" xfId="0" applyNumberFormat="1" applyBorder="1"/>
    <xf numFmtId="166" fontId="0" fillId="0" borderId="10" xfId="0" applyNumberFormat="1" applyBorder="1"/>
    <xf numFmtId="166" fontId="0" fillId="0" borderId="2" xfId="0" applyNumberFormat="1" applyFill="1" applyBorder="1"/>
    <xf numFmtId="0" fontId="0" fillId="0" borderId="3" xfId="0" applyFill="1" applyBorder="1" applyAlignment="1">
      <alignment horizontal="center"/>
    </xf>
    <xf numFmtId="2" fontId="0" fillId="0" borderId="3" xfId="0" applyNumberFormat="1" applyFill="1" applyBorder="1"/>
    <xf numFmtId="2" fontId="0" fillId="0" borderId="4" xfId="0" applyNumberFormat="1" applyFill="1" applyBorder="1"/>
    <xf numFmtId="166" fontId="0" fillId="0" borderId="11" xfId="0" applyNumberFormat="1" applyFill="1" applyBorder="1"/>
    <xf numFmtId="0" fontId="0" fillId="0" borderId="0" xfId="0" applyFill="1" applyBorder="1" applyAlignment="1">
      <alignment horizontal="center"/>
    </xf>
    <xf numFmtId="2" fontId="0" fillId="0" borderId="0" xfId="0" applyNumberFormat="1" applyFill="1" applyBorder="1"/>
    <xf numFmtId="2" fontId="0" fillId="0" borderId="12" xfId="0" applyNumberFormat="1" applyFill="1" applyBorder="1"/>
    <xf numFmtId="166" fontId="0" fillId="0" borderId="5" xfId="0" applyNumberFormat="1" applyFill="1" applyBorder="1"/>
    <xf numFmtId="0" fontId="0" fillId="0" borderId="6" xfId="0" applyFill="1" applyBorder="1" applyAlignment="1">
      <alignment horizontal="center"/>
    </xf>
    <xf numFmtId="2" fontId="0" fillId="0" borderId="6" xfId="0" applyNumberFormat="1" applyFill="1" applyBorder="1"/>
    <xf numFmtId="2" fontId="0" fillId="0" borderId="7" xfId="0" applyNumberFormat="1" applyFill="1" applyBorder="1"/>
    <xf numFmtId="0" fontId="1" fillId="0" borderId="1" xfId="0" applyFont="1" applyBorder="1"/>
    <xf numFmtId="0" fontId="1" fillId="4" borderId="1" xfId="0" applyFont="1" applyFill="1" applyBorder="1"/>
    <xf numFmtId="0" fontId="1" fillId="4" borderId="0" xfId="0" applyFont="1" applyFill="1"/>
    <xf numFmtId="0" fontId="0" fillId="5" borderId="1" xfId="0" applyFill="1" applyBorder="1"/>
    <xf numFmtId="0" fontId="0" fillId="4" borderId="1" xfId="0" applyFill="1" applyBorder="1"/>
    <xf numFmtId="0" fontId="0" fillId="0" borderId="19" xfId="0" applyBorder="1"/>
    <xf numFmtId="0" fontId="0" fillId="4" borderId="8" xfId="0" applyFill="1" applyBorder="1"/>
    <xf numFmtId="0" fontId="0" fillId="4" borderId="19" xfId="0" applyFill="1" applyBorder="1"/>
    <xf numFmtId="0" fontId="0" fillId="4" borderId="21" xfId="0" applyFill="1" applyBorder="1"/>
    <xf numFmtId="0" fontId="0" fillId="4" borderId="10" xfId="0" applyFill="1" applyBorder="1"/>
    <xf numFmtId="0" fontId="1" fillId="0" borderId="0" xfId="0" applyFont="1" applyBorder="1"/>
    <xf numFmtId="0" fontId="4" fillId="0" borderId="0" xfId="0" applyFont="1"/>
    <xf numFmtId="2" fontId="0" fillId="0" borderId="0" xfId="0" applyNumberFormat="1" applyBorder="1"/>
    <xf numFmtId="14" fontId="0" fillId="0" borderId="1" xfId="0" applyNumberFormat="1" applyBorder="1"/>
    <xf numFmtId="0" fontId="0" fillId="4" borderId="9" xfId="0" applyFill="1" applyBorder="1"/>
    <xf numFmtId="0" fontId="5" fillId="5" borderId="1" xfId="0" applyFont="1" applyFill="1" applyBorder="1"/>
    <xf numFmtId="0" fontId="0" fillId="6" borderId="1" xfId="0" applyFill="1" applyBorder="1"/>
    <xf numFmtId="0" fontId="0" fillId="7" borderId="1" xfId="0" applyFill="1" applyBorder="1"/>
    <xf numFmtId="2" fontId="0" fillId="8" borderId="1" xfId="0" applyNumberFormat="1" applyFill="1" applyBorder="1"/>
    <xf numFmtId="0" fontId="0" fillId="8" borderId="1" xfId="0" applyFill="1" applyBorder="1"/>
    <xf numFmtId="0" fontId="0" fillId="8" borderId="0" xfId="0" applyFill="1"/>
    <xf numFmtId="0" fontId="0" fillId="4" borderId="4" xfId="0" applyFill="1" applyBorder="1"/>
    <xf numFmtId="0" fontId="0" fillId="4" borderId="7" xfId="0" applyFill="1" applyBorder="1"/>
    <xf numFmtId="2" fontId="6" fillId="0" borderId="1" xfId="0" applyNumberFormat="1" applyFont="1" applyBorder="1"/>
    <xf numFmtId="0" fontId="0" fillId="4" borderId="2" xfId="0" applyFill="1" applyBorder="1"/>
    <xf numFmtId="0" fontId="0" fillId="4" borderId="5" xfId="0" applyFill="1" applyBorder="1"/>
    <xf numFmtId="0" fontId="0" fillId="4" borderId="3" xfId="0" applyFill="1" applyBorder="1"/>
    <xf numFmtId="14" fontId="7" fillId="0" borderId="1" xfId="0" applyNumberFormat="1" applyFont="1" applyBorder="1"/>
    <xf numFmtId="14" fontId="7" fillId="0" borderId="10" xfId="0" applyNumberFormat="1" applyFont="1" applyBorder="1"/>
    <xf numFmtId="0" fontId="7" fillId="0" borderId="10" xfId="0" applyFont="1" applyBorder="1"/>
    <xf numFmtId="2" fontId="7" fillId="0" borderId="10" xfId="0" applyNumberFormat="1" applyFont="1" applyBorder="1"/>
    <xf numFmtId="0" fontId="5" fillId="8" borderId="1" xfId="0" applyFont="1" applyFill="1" applyBorder="1"/>
    <xf numFmtId="1" fontId="0" fillId="5" borderId="1" xfId="0" applyNumberFormat="1" applyFill="1" applyBorder="1"/>
    <xf numFmtId="0" fontId="8" fillId="0" borderId="0" xfId="0" applyFont="1"/>
    <xf numFmtId="2" fontId="8" fillId="0" borderId="0" xfId="0" applyNumberFormat="1" applyFont="1" applyBorder="1"/>
    <xf numFmtId="0" fontId="8" fillId="0" borderId="0" xfId="0" applyFont="1" applyBorder="1"/>
    <xf numFmtId="0" fontId="0" fillId="4" borderId="6" xfId="0" applyFill="1" applyBorder="1"/>
    <xf numFmtId="0" fontId="0" fillId="5" borderId="0" xfId="0" applyFill="1" applyBorder="1"/>
    <xf numFmtId="2" fontId="0" fillId="0" borderId="0" xfId="0" applyNumberFormat="1" applyBorder="1" applyAlignment="1">
      <alignment horizontal="center"/>
    </xf>
    <xf numFmtId="0" fontId="0" fillId="8" borderId="0" xfId="0" applyFill="1" applyBorder="1"/>
    <xf numFmtId="2" fontId="0" fillId="0" borderId="0" xfId="0" applyNumberFormat="1" applyBorder="1" applyAlignment="1">
      <alignment horizontal="left"/>
    </xf>
    <xf numFmtId="2" fontId="0" fillId="5" borderId="1"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FA3B2-C615-479F-8F2D-972E7242DE1B}">
  <dimension ref="A1:M45"/>
  <sheetViews>
    <sheetView topLeftCell="A9" workbookViewId="0">
      <pane xSplit="1" topLeftCell="B1" activePane="topRight" state="frozen"/>
      <selection pane="topRight" activeCell="C44" sqref="C44"/>
    </sheetView>
  </sheetViews>
  <sheetFormatPr defaultRowHeight="15" x14ac:dyDescent="0.25"/>
  <cols>
    <col min="1" max="1" width="16.140625" customWidth="1"/>
    <col min="2" max="2" width="16.85546875" customWidth="1"/>
    <col min="3" max="3" width="37" customWidth="1"/>
    <col min="4" max="4" width="13.85546875" customWidth="1"/>
    <col min="5" max="5" width="25.42578125" customWidth="1"/>
    <col min="6" max="6" width="28.140625" customWidth="1"/>
    <col min="7" max="7" width="23.85546875" customWidth="1"/>
    <col min="8" max="8" width="28.5703125" customWidth="1"/>
    <col min="9" max="9" width="13.42578125" customWidth="1"/>
    <col min="10" max="10" width="20" customWidth="1"/>
    <col min="11" max="11" width="26" customWidth="1"/>
  </cols>
  <sheetData>
    <row r="1" spans="1:13" x14ac:dyDescent="0.25">
      <c r="A1" s="32" t="s">
        <v>11</v>
      </c>
      <c r="B1" s="33" t="s">
        <v>10</v>
      </c>
      <c r="C1" s="16" t="s">
        <v>4</v>
      </c>
      <c r="D1" s="16" t="s">
        <v>5</v>
      </c>
      <c r="E1" s="16" t="s">
        <v>6</v>
      </c>
      <c r="F1" s="16" t="s">
        <v>42</v>
      </c>
      <c r="G1" s="16" t="s">
        <v>7</v>
      </c>
      <c r="H1" s="16" t="s">
        <v>43</v>
      </c>
      <c r="I1" s="16" t="s">
        <v>8</v>
      </c>
      <c r="J1" s="16" t="s">
        <v>39</v>
      </c>
      <c r="K1" s="17" t="s">
        <v>9</v>
      </c>
      <c r="L1" s="8"/>
      <c r="M1" s="8"/>
    </row>
    <row r="2" spans="1:13" ht="15.75" thickBot="1" x14ac:dyDescent="0.3">
      <c r="A2" s="30" t="s">
        <v>0</v>
      </c>
      <c r="B2" s="31" t="s">
        <v>1</v>
      </c>
      <c r="C2" s="19"/>
      <c r="D2" s="20" t="s">
        <v>40</v>
      </c>
      <c r="E2" s="20"/>
      <c r="F2" s="20"/>
      <c r="G2" s="20"/>
      <c r="H2" s="20"/>
      <c r="I2" s="20"/>
      <c r="J2" s="20"/>
      <c r="K2" s="21" t="s">
        <v>40</v>
      </c>
      <c r="L2" s="8"/>
      <c r="M2" s="8"/>
    </row>
    <row r="3" spans="1:13" x14ac:dyDescent="0.25">
      <c r="A3" s="10"/>
      <c r="B3" s="9"/>
      <c r="C3" s="2" t="s">
        <v>17</v>
      </c>
      <c r="D3" s="3">
        <v>3.75</v>
      </c>
      <c r="E3" s="4">
        <v>0.1</v>
      </c>
      <c r="F3" s="2">
        <v>1</v>
      </c>
      <c r="G3" s="2">
        <f>F3-E3</f>
        <v>0.9</v>
      </c>
      <c r="H3" s="2">
        <v>3.2726999999999999E-2</v>
      </c>
      <c r="I3" s="22">
        <f>G3/H3</f>
        <v>27.500229168576407</v>
      </c>
      <c r="J3" s="22">
        <f>D3*I3</f>
        <v>103.12585938216152</v>
      </c>
      <c r="K3" s="9"/>
    </row>
    <row r="4" spans="1:13" x14ac:dyDescent="0.25">
      <c r="A4" s="10" t="s">
        <v>2</v>
      </c>
      <c r="B4" s="10" t="s">
        <v>3</v>
      </c>
      <c r="C4" s="12" t="s">
        <v>18</v>
      </c>
      <c r="D4" s="8">
        <v>0.22</v>
      </c>
      <c r="E4" s="13">
        <v>0.5</v>
      </c>
      <c r="F4" s="12">
        <v>1</v>
      </c>
      <c r="G4" s="12">
        <f t="shared" ref="G4:G20" si="0">F4-E4</f>
        <v>0.5</v>
      </c>
      <c r="H4" s="12">
        <v>3.2726999999999999E-2</v>
      </c>
      <c r="I4" s="23">
        <f t="shared" ref="I4:I20" si="1">G4/H4</f>
        <v>15.277905093653558</v>
      </c>
      <c r="J4" s="23">
        <f t="shared" ref="J4:J20" si="2">D4*I4</f>
        <v>3.3611391206037831</v>
      </c>
      <c r="K4" s="10"/>
    </row>
    <row r="5" spans="1:13" x14ac:dyDescent="0.25">
      <c r="A5" s="10"/>
      <c r="B5" s="11"/>
      <c r="C5" s="5" t="s">
        <v>19</v>
      </c>
      <c r="D5" s="6">
        <v>0.84</v>
      </c>
      <c r="E5" s="7">
        <v>0.5</v>
      </c>
      <c r="F5" s="5">
        <v>1</v>
      </c>
      <c r="G5" s="5">
        <f t="shared" si="0"/>
        <v>0.5</v>
      </c>
      <c r="H5" s="12">
        <v>3.2726999999999999E-2</v>
      </c>
      <c r="I5" s="23">
        <f t="shared" si="1"/>
        <v>15.277905093653558</v>
      </c>
      <c r="J5" s="23">
        <f t="shared" si="2"/>
        <v>12.833440278668988</v>
      </c>
      <c r="K5" s="10"/>
    </row>
    <row r="6" spans="1:13" x14ac:dyDescent="0.25">
      <c r="A6" s="10"/>
      <c r="B6" s="10"/>
      <c r="C6" s="12" t="s">
        <v>20</v>
      </c>
      <c r="D6" s="18">
        <v>0.56000000000000005</v>
      </c>
      <c r="E6" s="13">
        <v>0.05</v>
      </c>
      <c r="F6" s="12">
        <v>0.8</v>
      </c>
      <c r="G6" s="2">
        <f t="shared" si="0"/>
        <v>0.75</v>
      </c>
      <c r="H6" s="12">
        <v>3.2726999999999999E-2</v>
      </c>
      <c r="I6" s="23">
        <f t="shared" si="1"/>
        <v>22.916857640480337</v>
      </c>
      <c r="J6" s="23">
        <f t="shared" si="2"/>
        <v>12.83344027866899</v>
      </c>
      <c r="K6" s="10"/>
    </row>
    <row r="7" spans="1:13" x14ac:dyDescent="0.25">
      <c r="A7" s="10"/>
      <c r="B7" s="10"/>
      <c r="C7" s="12" t="s">
        <v>21</v>
      </c>
      <c r="D7" s="18">
        <v>0.14000000000000001</v>
      </c>
      <c r="E7" s="13">
        <v>0.1</v>
      </c>
      <c r="F7" s="12">
        <v>0.8</v>
      </c>
      <c r="G7" s="12">
        <f t="shared" si="0"/>
        <v>0.70000000000000007</v>
      </c>
      <c r="H7" s="12">
        <v>3.2726999999999999E-2</v>
      </c>
      <c r="I7" s="23">
        <f t="shared" si="1"/>
        <v>21.389067131114984</v>
      </c>
      <c r="J7" s="23">
        <f t="shared" si="2"/>
        <v>2.9944693983560979</v>
      </c>
      <c r="K7" s="10"/>
    </row>
    <row r="8" spans="1:13" x14ac:dyDescent="0.25">
      <c r="A8" s="10"/>
      <c r="B8" s="10"/>
      <c r="C8" s="12" t="s">
        <v>22</v>
      </c>
      <c r="D8" s="18">
        <v>0.38</v>
      </c>
      <c r="E8" s="13">
        <v>0.1</v>
      </c>
      <c r="F8" s="12">
        <v>0.8</v>
      </c>
      <c r="G8" s="12">
        <f t="shared" si="0"/>
        <v>0.70000000000000007</v>
      </c>
      <c r="H8" s="12">
        <v>3.2726999999999999E-2</v>
      </c>
      <c r="I8" s="23">
        <f t="shared" si="1"/>
        <v>21.389067131114984</v>
      </c>
      <c r="J8" s="23">
        <f t="shared" si="2"/>
        <v>8.127845509823695</v>
      </c>
      <c r="K8" s="10"/>
    </row>
    <row r="9" spans="1:13" x14ac:dyDescent="0.25">
      <c r="A9" s="10"/>
      <c r="B9" s="10" t="s">
        <v>13</v>
      </c>
      <c r="C9" s="12" t="s">
        <v>23</v>
      </c>
      <c r="D9" s="18">
        <v>0.41</v>
      </c>
      <c r="E9" s="13">
        <v>0.1</v>
      </c>
      <c r="F9" s="12">
        <v>0.8</v>
      </c>
      <c r="G9" s="12">
        <f t="shared" si="0"/>
        <v>0.70000000000000007</v>
      </c>
      <c r="H9" s="12">
        <v>3.2726999999999999E-2</v>
      </c>
      <c r="I9" s="23">
        <f t="shared" si="1"/>
        <v>21.389067131114984</v>
      </c>
      <c r="J9" s="23">
        <f t="shared" si="2"/>
        <v>8.769517523757143</v>
      </c>
      <c r="K9" s="25">
        <f>SUM(J3:J14)</f>
        <v>188.31545818437377</v>
      </c>
    </row>
    <row r="10" spans="1:13" x14ac:dyDescent="0.25">
      <c r="A10" s="10"/>
      <c r="B10" s="10" t="s">
        <v>14</v>
      </c>
      <c r="C10" s="12" t="s">
        <v>24</v>
      </c>
      <c r="D10" s="18">
        <v>0.14000000000000001</v>
      </c>
      <c r="E10" s="13">
        <v>0</v>
      </c>
      <c r="F10" s="12">
        <v>0.8</v>
      </c>
      <c r="G10" s="12">
        <f t="shared" si="0"/>
        <v>0.8</v>
      </c>
      <c r="H10" s="12">
        <v>3.2726999999999999E-2</v>
      </c>
      <c r="I10" s="23">
        <f t="shared" si="1"/>
        <v>24.444648149845694</v>
      </c>
      <c r="J10" s="23">
        <f t="shared" si="2"/>
        <v>3.4222507409783973</v>
      </c>
      <c r="K10" s="10"/>
    </row>
    <row r="11" spans="1:13" x14ac:dyDescent="0.25">
      <c r="A11" s="10"/>
      <c r="B11" s="10"/>
      <c r="C11" s="12" t="s">
        <v>25</v>
      </c>
      <c r="D11" s="18">
        <v>0.32</v>
      </c>
      <c r="E11" s="13">
        <v>0.1</v>
      </c>
      <c r="F11" s="12">
        <v>0.8</v>
      </c>
      <c r="G11" s="12">
        <f t="shared" si="0"/>
        <v>0.70000000000000007</v>
      </c>
      <c r="H11" s="12">
        <v>3.2726999999999999E-2</v>
      </c>
      <c r="I11" s="23">
        <f t="shared" si="1"/>
        <v>21.389067131114984</v>
      </c>
      <c r="J11" s="23">
        <f t="shared" si="2"/>
        <v>6.8445014819567955</v>
      </c>
      <c r="K11" s="10"/>
    </row>
    <row r="12" spans="1:13" ht="15.75" thickBot="1" x14ac:dyDescent="0.3">
      <c r="A12" s="10"/>
      <c r="B12" s="11"/>
      <c r="C12" s="14" t="s">
        <v>26</v>
      </c>
      <c r="D12" s="18">
        <v>0.09</v>
      </c>
      <c r="E12" s="13">
        <v>0.5</v>
      </c>
      <c r="F12" s="5">
        <v>0.8</v>
      </c>
      <c r="G12" s="5">
        <f t="shared" si="0"/>
        <v>0.30000000000000004</v>
      </c>
      <c r="H12" s="12">
        <v>3.2726999999999999E-2</v>
      </c>
      <c r="I12" s="23">
        <f t="shared" si="1"/>
        <v>9.1667430561921357</v>
      </c>
      <c r="J12" s="23">
        <f t="shared" si="2"/>
        <v>0.8250068750572922</v>
      </c>
      <c r="K12" s="10"/>
    </row>
    <row r="13" spans="1:13" x14ac:dyDescent="0.25">
      <c r="A13" s="10"/>
      <c r="B13" s="9"/>
      <c r="C13" s="12" t="s">
        <v>25</v>
      </c>
      <c r="D13" s="12">
        <v>0.16</v>
      </c>
      <c r="E13" s="13">
        <v>0.1</v>
      </c>
      <c r="F13" s="2">
        <v>1</v>
      </c>
      <c r="G13" s="2">
        <f t="shared" si="0"/>
        <v>0.9</v>
      </c>
      <c r="H13" s="12">
        <v>3.2726999999999999E-2</v>
      </c>
      <c r="I13" s="23">
        <f t="shared" si="1"/>
        <v>27.500229168576407</v>
      </c>
      <c r="J13" s="23">
        <f t="shared" si="2"/>
        <v>4.4000366669722251</v>
      </c>
      <c r="K13" s="10"/>
    </row>
    <row r="14" spans="1:13" ht="15.75" thickBot="1" x14ac:dyDescent="0.3">
      <c r="A14" s="11"/>
      <c r="B14" s="10" t="s">
        <v>15</v>
      </c>
      <c r="C14" s="12" t="s">
        <v>24</v>
      </c>
      <c r="D14" s="14">
        <v>0.68</v>
      </c>
      <c r="E14" s="15">
        <v>0</v>
      </c>
      <c r="F14" s="5">
        <v>1</v>
      </c>
      <c r="G14" s="5">
        <f t="shared" si="0"/>
        <v>1</v>
      </c>
      <c r="H14" s="12">
        <v>3.2726999999999999E-2</v>
      </c>
      <c r="I14" s="23">
        <f t="shared" si="1"/>
        <v>30.555810187307117</v>
      </c>
      <c r="J14" s="23">
        <f t="shared" si="2"/>
        <v>20.777950927368842</v>
      </c>
      <c r="K14" s="11"/>
    </row>
    <row r="15" spans="1:13" x14ac:dyDescent="0.25">
      <c r="A15" s="9"/>
      <c r="B15" s="10"/>
      <c r="C15" s="12" t="s">
        <v>24</v>
      </c>
      <c r="D15" s="18">
        <v>1.1200000000000001</v>
      </c>
      <c r="E15" s="13">
        <v>0</v>
      </c>
      <c r="F15" s="2">
        <v>1</v>
      </c>
      <c r="G15" s="2">
        <f t="shared" si="0"/>
        <v>1</v>
      </c>
      <c r="H15" s="12">
        <v>3.2726999999999999E-2</v>
      </c>
      <c r="I15" s="23">
        <f t="shared" si="1"/>
        <v>30.555810187307117</v>
      </c>
      <c r="J15" s="25">
        <f t="shared" si="2"/>
        <v>34.222507409783972</v>
      </c>
      <c r="K15" s="13"/>
    </row>
    <row r="16" spans="1:13" x14ac:dyDescent="0.25">
      <c r="A16" s="10"/>
      <c r="B16" s="11"/>
      <c r="C16" s="12" t="s">
        <v>27</v>
      </c>
      <c r="D16" s="18">
        <v>2.38</v>
      </c>
      <c r="E16" s="13">
        <v>0</v>
      </c>
      <c r="F16" s="5">
        <v>1</v>
      </c>
      <c r="G16" s="5">
        <f t="shared" si="0"/>
        <v>1</v>
      </c>
      <c r="H16" s="12">
        <v>3.2726999999999999E-2</v>
      </c>
      <c r="I16" s="23">
        <f t="shared" si="1"/>
        <v>30.555810187307117</v>
      </c>
      <c r="J16" s="25">
        <f t="shared" si="2"/>
        <v>72.722828245790936</v>
      </c>
      <c r="K16" s="13"/>
    </row>
    <row r="17" spans="1:11" x14ac:dyDescent="0.25">
      <c r="A17" s="10" t="s">
        <v>12</v>
      </c>
      <c r="B17" s="9"/>
      <c r="C17" s="12" t="s">
        <v>20</v>
      </c>
      <c r="D17" s="18">
        <v>0.21</v>
      </c>
      <c r="E17" s="13">
        <v>0.05</v>
      </c>
      <c r="F17" s="2">
        <v>1</v>
      </c>
      <c r="G17" s="12">
        <f t="shared" si="0"/>
        <v>0.95</v>
      </c>
      <c r="H17" s="12">
        <v>3.2726999999999999E-2</v>
      </c>
      <c r="I17" s="23">
        <f t="shared" si="1"/>
        <v>29.02801967794176</v>
      </c>
      <c r="J17" s="25">
        <f t="shared" si="2"/>
        <v>6.095884132367769</v>
      </c>
      <c r="K17" s="27">
        <f>SUM(J15:J20)</f>
        <v>132.26082439575887</v>
      </c>
    </row>
    <row r="18" spans="1:11" x14ac:dyDescent="0.25">
      <c r="A18" s="10"/>
      <c r="B18" s="10" t="s">
        <v>13</v>
      </c>
      <c r="C18" s="12" t="s">
        <v>22</v>
      </c>
      <c r="D18" s="18">
        <v>0.11</v>
      </c>
      <c r="E18" s="13">
        <v>0.1</v>
      </c>
      <c r="F18" s="12">
        <v>1</v>
      </c>
      <c r="G18" s="12">
        <f t="shared" si="0"/>
        <v>0.9</v>
      </c>
      <c r="H18" s="12">
        <v>3.2726999999999999E-2</v>
      </c>
      <c r="I18" s="23">
        <f t="shared" si="1"/>
        <v>27.500229168576407</v>
      </c>
      <c r="J18" s="25">
        <f t="shared" si="2"/>
        <v>3.0250252085434046</v>
      </c>
      <c r="K18" s="13"/>
    </row>
    <row r="19" spans="1:11" x14ac:dyDescent="0.25">
      <c r="A19" s="10"/>
      <c r="B19" s="10" t="s">
        <v>16</v>
      </c>
      <c r="C19" s="12" t="s">
        <v>24</v>
      </c>
      <c r="D19" s="18">
        <v>0.08</v>
      </c>
      <c r="E19" s="13">
        <v>0</v>
      </c>
      <c r="F19" s="12">
        <v>1</v>
      </c>
      <c r="G19" s="12">
        <f t="shared" si="0"/>
        <v>1</v>
      </c>
      <c r="H19" s="12">
        <v>3.2726999999999999E-2</v>
      </c>
      <c r="I19" s="23">
        <f t="shared" si="1"/>
        <v>30.555810187307117</v>
      </c>
      <c r="J19" s="25">
        <f t="shared" si="2"/>
        <v>2.4444648149845696</v>
      </c>
      <c r="K19" s="13"/>
    </row>
    <row r="20" spans="1:11" ht="15.75" thickBot="1" x14ac:dyDescent="0.3">
      <c r="A20" s="11"/>
      <c r="B20" s="11"/>
      <c r="C20" s="12" t="s">
        <v>28</v>
      </c>
      <c r="D20" s="8">
        <v>0.5</v>
      </c>
      <c r="E20" s="15">
        <v>0.1</v>
      </c>
      <c r="F20" s="5">
        <v>1</v>
      </c>
      <c r="G20" s="5">
        <f t="shared" si="0"/>
        <v>0.9</v>
      </c>
      <c r="H20" s="5">
        <v>3.2726999999999999E-2</v>
      </c>
      <c r="I20" s="24">
        <f t="shared" si="1"/>
        <v>27.500229168576407</v>
      </c>
      <c r="J20" s="26">
        <f t="shared" si="2"/>
        <v>13.750114584288204</v>
      </c>
      <c r="K20" s="7"/>
    </row>
    <row r="21" spans="1:11" x14ac:dyDescent="0.25">
      <c r="C21" s="29" t="s">
        <v>36</v>
      </c>
      <c r="D21" s="1">
        <f>SUM(D3:D20)</f>
        <v>12.090000000000002</v>
      </c>
      <c r="J21" s="1" t="s">
        <v>49</v>
      </c>
      <c r="K21" s="28">
        <f>SUM(K3:K20)</f>
        <v>320.57628258013267</v>
      </c>
    </row>
    <row r="23" spans="1:11" x14ac:dyDescent="0.25">
      <c r="F23" s="1" t="s">
        <v>37</v>
      </c>
      <c r="G23" s="1">
        <f>K21/D21</f>
        <v>26.515821553360844</v>
      </c>
    </row>
    <row r="24" spans="1:11" ht="18.75" x14ac:dyDescent="0.3">
      <c r="A24" s="128" t="s">
        <v>267</v>
      </c>
      <c r="E24" s="9" t="s">
        <v>63</v>
      </c>
      <c r="F24" s="34" t="s">
        <v>47</v>
      </c>
      <c r="G24" s="1">
        <f>(D21/K21)</f>
        <v>3.7713332697898297E-2</v>
      </c>
    </row>
    <row r="25" spans="1:11" x14ac:dyDescent="0.25">
      <c r="E25" s="11" t="s">
        <v>64</v>
      </c>
    </row>
    <row r="26" spans="1:11" x14ac:dyDescent="0.25">
      <c r="E26" t="s">
        <v>29</v>
      </c>
      <c r="G26" t="s">
        <v>53</v>
      </c>
    </row>
    <row r="27" spans="1:11" x14ac:dyDescent="0.25">
      <c r="E27" t="s">
        <v>30</v>
      </c>
      <c r="G27" t="s">
        <v>44</v>
      </c>
    </row>
    <row r="28" spans="1:11" x14ac:dyDescent="0.25">
      <c r="E28" t="s">
        <v>31</v>
      </c>
      <c r="G28" t="s">
        <v>45</v>
      </c>
    </row>
    <row r="29" spans="1:11" x14ac:dyDescent="0.25">
      <c r="E29" t="s">
        <v>32</v>
      </c>
      <c r="G29" t="s">
        <v>46</v>
      </c>
    </row>
    <row r="30" spans="1:11" x14ac:dyDescent="0.25">
      <c r="E30" t="s">
        <v>33</v>
      </c>
      <c r="G30" t="s">
        <v>55</v>
      </c>
    </row>
    <row r="31" spans="1:11" x14ac:dyDescent="0.25">
      <c r="E31" t="s">
        <v>41</v>
      </c>
      <c r="G31" t="s">
        <v>50</v>
      </c>
    </row>
    <row r="32" spans="1:11" x14ac:dyDescent="0.25">
      <c r="E32" t="s">
        <v>34</v>
      </c>
      <c r="G32" t="s">
        <v>48</v>
      </c>
    </row>
    <row r="33" spans="2:7" x14ac:dyDescent="0.25">
      <c r="E33" t="s">
        <v>35</v>
      </c>
      <c r="G33" t="s">
        <v>51</v>
      </c>
    </row>
    <row r="34" spans="2:7" x14ac:dyDescent="0.25">
      <c r="B34" t="s">
        <v>62</v>
      </c>
      <c r="G34" t="s">
        <v>52</v>
      </c>
    </row>
    <row r="35" spans="2:7" x14ac:dyDescent="0.25">
      <c r="B35" t="s">
        <v>38</v>
      </c>
      <c r="G35" t="s">
        <v>58</v>
      </c>
    </row>
    <row r="36" spans="2:7" x14ac:dyDescent="0.25">
      <c r="G36" t="s">
        <v>59</v>
      </c>
    </row>
    <row r="37" spans="2:7" x14ac:dyDescent="0.25">
      <c r="B37" t="s">
        <v>181</v>
      </c>
      <c r="G37" t="s">
        <v>57</v>
      </c>
    </row>
    <row r="38" spans="2:7" x14ac:dyDescent="0.25">
      <c r="G38" t="s">
        <v>56</v>
      </c>
    </row>
    <row r="39" spans="2:7" x14ac:dyDescent="0.25">
      <c r="G39" t="s">
        <v>60</v>
      </c>
    </row>
    <row r="40" spans="2:7" x14ac:dyDescent="0.25">
      <c r="G40" t="s">
        <v>61</v>
      </c>
    </row>
    <row r="42" spans="2:7" x14ac:dyDescent="0.25">
      <c r="G42" t="s">
        <v>66</v>
      </c>
    </row>
    <row r="43" spans="2:7" x14ac:dyDescent="0.25">
      <c r="G43" t="s">
        <v>65</v>
      </c>
    </row>
    <row r="45" spans="2:7" x14ac:dyDescent="0.25">
      <c r="G45"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BA4EE-2D7B-4424-9CD5-25CCBC598D52}">
  <dimension ref="A1:O89"/>
  <sheetViews>
    <sheetView topLeftCell="A52" workbookViewId="0">
      <selection activeCell="C79" sqref="C79"/>
    </sheetView>
  </sheetViews>
  <sheetFormatPr defaultRowHeight="15" x14ac:dyDescent="0.25"/>
  <cols>
    <col min="1" max="1" width="25.5703125" style="40" customWidth="1"/>
    <col min="2" max="2" width="17.42578125" style="47" customWidth="1"/>
    <col min="3" max="3" width="27" style="54" customWidth="1"/>
    <col min="4" max="4" width="39.42578125" style="54" customWidth="1"/>
    <col min="5" max="5" width="34.28515625" style="48" customWidth="1"/>
    <col min="6" max="6" width="35.7109375" style="54" customWidth="1"/>
    <col min="7" max="7" width="41" style="43" customWidth="1"/>
    <col min="8" max="8" width="37.5703125" style="43" customWidth="1"/>
    <col min="9" max="9" width="28.42578125" style="58" customWidth="1"/>
    <col min="10" max="11" width="28.42578125" style="43" customWidth="1"/>
    <col min="12" max="12" width="25.140625" style="60" customWidth="1"/>
    <col min="13" max="13" width="19.85546875" style="1" customWidth="1"/>
    <col min="14" max="14" width="20.28515625" style="1" customWidth="1"/>
    <col min="15" max="15" width="22" style="1" customWidth="1"/>
    <col min="16" max="16384" width="9.140625" style="1"/>
  </cols>
  <sheetData>
    <row r="1" spans="1:15" x14ac:dyDescent="0.25">
      <c r="A1" s="38" t="s">
        <v>67</v>
      </c>
      <c r="B1" s="46" t="s">
        <v>5</v>
      </c>
      <c r="C1" s="52" t="s">
        <v>68</v>
      </c>
      <c r="D1" s="52" t="s">
        <v>133</v>
      </c>
      <c r="E1" s="50" t="s">
        <v>143</v>
      </c>
      <c r="F1" s="52" t="s">
        <v>144</v>
      </c>
      <c r="G1" s="41" t="s">
        <v>146</v>
      </c>
      <c r="H1" s="41" t="s">
        <v>147</v>
      </c>
      <c r="I1" s="56" t="s">
        <v>148</v>
      </c>
      <c r="J1" s="41" t="s">
        <v>157</v>
      </c>
      <c r="K1" s="41" t="s">
        <v>158</v>
      </c>
      <c r="L1" s="59" t="s">
        <v>43</v>
      </c>
      <c r="M1" s="36" t="s">
        <v>8</v>
      </c>
      <c r="N1" s="36" t="s">
        <v>39</v>
      </c>
      <c r="O1" s="36"/>
    </row>
    <row r="2" spans="1:15" x14ac:dyDescent="0.25">
      <c r="A2" s="39" t="s">
        <v>69</v>
      </c>
      <c r="B2" s="44">
        <v>2.04</v>
      </c>
      <c r="C2" s="53" t="s">
        <v>130</v>
      </c>
      <c r="D2" s="53" t="s">
        <v>14</v>
      </c>
      <c r="E2" s="49">
        <v>0</v>
      </c>
      <c r="F2" s="53" t="s">
        <v>145</v>
      </c>
      <c r="G2" s="42">
        <v>0.34</v>
      </c>
      <c r="H2" s="42">
        <v>1.7</v>
      </c>
      <c r="I2" s="57" t="s">
        <v>149</v>
      </c>
      <c r="J2" s="42">
        <v>1</v>
      </c>
      <c r="K2" s="42">
        <f>J2-E2</f>
        <v>1</v>
      </c>
      <c r="L2" s="60">
        <v>3.2726999999999999E-2</v>
      </c>
      <c r="M2" s="35">
        <f>K2/L2</f>
        <v>30.555810187307117</v>
      </c>
      <c r="N2" s="35">
        <f>M2*B2</f>
        <v>62.333852782106518</v>
      </c>
      <c r="O2" s="35"/>
    </row>
    <row r="3" spans="1:15" x14ac:dyDescent="0.25">
      <c r="A3" s="40" t="s">
        <v>70</v>
      </c>
      <c r="B3" s="45">
        <v>0.18</v>
      </c>
      <c r="C3" s="54" t="s">
        <v>130</v>
      </c>
      <c r="D3" s="54" t="s">
        <v>134</v>
      </c>
      <c r="E3" s="48">
        <v>6.25E-2</v>
      </c>
      <c r="F3" s="54" t="s">
        <v>145</v>
      </c>
      <c r="G3" s="43">
        <v>0.1</v>
      </c>
      <c r="H3" s="43">
        <v>0.08</v>
      </c>
      <c r="I3" s="58" t="s">
        <v>149</v>
      </c>
      <c r="J3" s="43">
        <v>1</v>
      </c>
      <c r="K3" s="42">
        <f t="shared" ref="K3:K62" si="0">J3-E3</f>
        <v>0.9375</v>
      </c>
      <c r="L3" s="60">
        <v>3.2726999999999999E-2</v>
      </c>
      <c r="M3" s="35">
        <f t="shared" ref="M3:M62" si="1">K3/L3</f>
        <v>28.646072050600424</v>
      </c>
      <c r="N3" s="35">
        <f t="shared" ref="N3:N62" si="2">M3*B3</f>
        <v>5.1562929691080761</v>
      </c>
    </row>
    <row r="4" spans="1:15" x14ac:dyDescent="0.25">
      <c r="A4" s="40" t="s">
        <v>71</v>
      </c>
      <c r="B4" s="45">
        <v>0.11</v>
      </c>
      <c r="C4" s="54" t="s">
        <v>130</v>
      </c>
      <c r="D4" s="54" t="s">
        <v>135</v>
      </c>
      <c r="E4" s="48">
        <v>0.125</v>
      </c>
      <c r="F4" s="54" t="s">
        <v>145</v>
      </c>
      <c r="H4" s="43">
        <v>0.11</v>
      </c>
      <c r="I4" s="58" t="s">
        <v>149</v>
      </c>
      <c r="J4" s="43">
        <v>1</v>
      </c>
      <c r="K4" s="42">
        <f t="shared" si="0"/>
        <v>0.875</v>
      </c>
      <c r="L4" s="60">
        <v>3.2726999999999999E-2</v>
      </c>
      <c r="M4" s="35">
        <f t="shared" si="1"/>
        <v>26.736333913893727</v>
      </c>
      <c r="N4" s="35">
        <f t="shared" si="2"/>
        <v>2.94099673052831</v>
      </c>
    </row>
    <row r="5" spans="1:15" x14ac:dyDescent="0.25">
      <c r="A5" s="40" t="s">
        <v>72</v>
      </c>
      <c r="B5" s="45">
        <v>3.18</v>
      </c>
      <c r="C5" s="54" t="s">
        <v>130</v>
      </c>
      <c r="D5" s="54" t="s">
        <v>14</v>
      </c>
      <c r="E5" s="48">
        <v>0</v>
      </c>
      <c r="F5" s="54" t="s">
        <v>131</v>
      </c>
      <c r="I5" s="58" t="s">
        <v>150</v>
      </c>
      <c r="J5" s="43">
        <v>0.5</v>
      </c>
      <c r="K5" s="42">
        <f t="shared" si="0"/>
        <v>0.5</v>
      </c>
      <c r="L5" s="60">
        <v>3.2726999999999999E-2</v>
      </c>
      <c r="M5" s="35">
        <f t="shared" si="1"/>
        <v>15.277905093653558</v>
      </c>
      <c r="N5" s="35">
        <f t="shared" si="2"/>
        <v>48.58373819781832</v>
      </c>
    </row>
    <row r="6" spans="1:15" x14ac:dyDescent="0.25">
      <c r="A6" s="40" t="s">
        <v>73</v>
      </c>
      <c r="B6" s="45">
        <v>7.0000000000000007E-2</v>
      </c>
      <c r="C6" s="54" t="s">
        <v>130</v>
      </c>
      <c r="D6" s="54" t="s">
        <v>135</v>
      </c>
      <c r="E6" s="51">
        <v>0.125</v>
      </c>
      <c r="F6" s="54" t="s">
        <v>131</v>
      </c>
      <c r="I6" s="58" t="s">
        <v>150</v>
      </c>
      <c r="J6" s="43">
        <v>0.5</v>
      </c>
      <c r="K6" s="42">
        <f t="shared" si="0"/>
        <v>0.375</v>
      </c>
      <c r="L6" s="60">
        <v>3.2726999999999999E-2</v>
      </c>
      <c r="M6" s="35">
        <f t="shared" si="1"/>
        <v>11.458428820240169</v>
      </c>
      <c r="N6" s="35">
        <f t="shared" si="2"/>
        <v>0.80209001741681185</v>
      </c>
    </row>
    <row r="7" spans="1:15" x14ac:dyDescent="0.25">
      <c r="A7" s="40" t="s">
        <v>74</v>
      </c>
      <c r="B7" s="45">
        <v>0.67</v>
      </c>
      <c r="C7" s="54" t="s">
        <v>130</v>
      </c>
      <c r="D7" s="54" t="s">
        <v>14</v>
      </c>
      <c r="E7" s="51">
        <v>0</v>
      </c>
      <c r="F7" s="54" t="s">
        <v>131</v>
      </c>
      <c r="I7" s="58" t="s">
        <v>150</v>
      </c>
      <c r="J7" s="43">
        <v>0.5</v>
      </c>
      <c r="K7" s="42">
        <f t="shared" si="0"/>
        <v>0.5</v>
      </c>
      <c r="L7" s="60">
        <v>3.2726999999999999E-2</v>
      </c>
      <c r="M7" s="35">
        <f t="shared" si="1"/>
        <v>15.277905093653558</v>
      </c>
      <c r="N7" s="35">
        <f t="shared" si="2"/>
        <v>10.236196412747885</v>
      </c>
    </row>
    <row r="8" spans="1:15" x14ac:dyDescent="0.25">
      <c r="A8" s="40" t="s">
        <v>75</v>
      </c>
      <c r="B8" s="45">
        <v>0.03</v>
      </c>
      <c r="C8" s="54" t="s">
        <v>130</v>
      </c>
      <c r="D8" s="54" t="s">
        <v>135</v>
      </c>
      <c r="E8" s="51">
        <v>0.125</v>
      </c>
      <c r="F8" s="54" t="s">
        <v>131</v>
      </c>
      <c r="I8" s="58" t="s">
        <v>150</v>
      </c>
      <c r="J8" s="43">
        <v>0.5</v>
      </c>
      <c r="K8" s="42">
        <f t="shared" si="0"/>
        <v>0.375</v>
      </c>
      <c r="L8" s="60">
        <v>3.2726999999999999E-2</v>
      </c>
      <c r="M8" s="35">
        <f t="shared" si="1"/>
        <v>11.458428820240169</v>
      </c>
      <c r="N8" s="35">
        <f t="shared" si="2"/>
        <v>0.34375286460720506</v>
      </c>
    </row>
    <row r="9" spans="1:15" x14ac:dyDescent="0.25">
      <c r="A9" s="40" t="s">
        <v>76</v>
      </c>
      <c r="B9" s="45">
        <v>4.32</v>
      </c>
      <c r="C9" s="54" t="s">
        <v>130</v>
      </c>
      <c r="D9" s="54" t="s">
        <v>14</v>
      </c>
      <c r="E9" s="51">
        <v>0</v>
      </c>
      <c r="F9" s="54" t="s">
        <v>130</v>
      </c>
      <c r="I9" s="58" t="s">
        <v>150</v>
      </c>
      <c r="J9" s="43">
        <v>0.15</v>
      </c>
      <c r="K9" s="42">
        <f t="shared" si="0"/>
        <v>0.15</v>
      </c>
      <c r="L9" s="60">
        <v>3.2726999999999999E-2</v>
      </c>
      <c r="M9" s="35">
        <f t="shared" si="1"/>
        <v>4.5833715280960678</v>
      </c>
      <c r="N9" s="35">
        <f t="shared" si="2"/>
        <v>19.800165001375014</v>
      </c>
      <c r="O9" s="37"/>
    </row>
    <row r="10" spans="1:15" x14ac:dyDescent="0.25">
      <c r="A10" s="40" t="s">
        <v>77</v>
      </c>
      <c r="B10" s="45">
        <v>0.16</v>
      </c>
      <c r="C10" s="54" t="s">
        <v>130</v>
      </c>
      <c r="D10" s="54" t="s">
        <v>14</v>
      </c>
      <c r="E10" s="51">
        <v>0</v>
      </c>
      <c r="F10" s="54" t="s">
        <v>130</v>
      </c>
      <c r="I10" s="58" t="s">
        <v>150</v>
      </c>
      <c r="J10" s="43">
        <v>0</v>
      </c>
      <c r="K10" s="42">
        <f t="shared" si="0"/>
        <v>0</v>
      </c>
      <c r="L10" s="60">
        <v>3.2726999999999999E-2</v>
      </c>
      <c r="M10" s="35">
        <f t="shared" si="1"/>
        <v>0</v>
      </c>
      <c r="N10" s="35">
        <f t="shared" si="2"/>
        <v>0</v>
      </c>
    </row>
    <row r="11" spans="1:15" x14ac:dyDescent="0.25">
      <c r="A11" s="40" t="s">
        <v>78</v>
      </c>
      <c r="B11" s="45">
        <v>0.66</v>
      </c>
      <c r="C11" s="54" t="s">
        <v>130</v>
      </c>
      <c r="D11" s="54" t="s">
        <v>134</v>
      </c>
      <c r="E11" s="51">
        <v>0</v>
      </c>
      <c r="F11" s="54" t="s">
        <v>130</v>
      </c>
      <c r="I11" s="58" t="s">
        <v>150</v>
      </c>
      <c r="J11" s="43">
        <v>0.15</v>
      </c>
      <c r="K11" s="42">
        <f t="shared" si="0"/>
        <v>0.15</v>
      </c>
      <c r="L11" s="60">
        <v>3.2726999999999999E-2</v>
      </c>
      <c r="M11" s="35">
        <f t="shared" si="1"/>
        <v>4.5833715280960678</v>
      </c>
      <c r="N11" s="35">
        <f t="shared" si="2"/>
        <v>3.0250252085434051</v>
      </c>
    </row>
    <row r="12" spans="1:15" x14ac:dyDescent="0.25">
      <c r="A12" s="40" t="s">
        <v>79</v>
      </c>
      <c r="B12" s="45">
        <v>0.06</v>
      </c>
      <c r="C12" s="54" t="s">
        <v>131</v>
      </c>
      <c r="D12" s="54" t="s">
        <v>14</v>
      </c>
      <c r="E12" s="51">
        <v>0</v>
      </c>
      <c r="F12" s="54" t="s">
        <v>13</v>
      </c>
      <c r="H12" s="43">
        <v>0.06</v>
      </c>
      <c r="I12" s="58" t="s">
        <v>151</v>
      </c>
      <c r="J12" s="43">
        <v>1</v>
      </c>
      <c r="K12" s="42">
        <f t="shared" si="0"/>
        <v>1</v>
      </c>
      <c r="L12" s="60">
        <v>3.2726999999999999E-2</v>
      </c>
      <c r="M12" s="35">
        <f t="shared" si="1"/>
        <v>30.555810187307117</v>
      </c>
      <c r="N12" s="35">
        <f t="shared" si="2"/>
        <v>1.833348611238427</v>
      </c>
    </row>
    <row r="13" spans="1:15" x14ac:dyDescent="0.25">
      <c r="A13" s="40" t="s">
        <v>80</v>
      </c>
      <c r="B13" s="45">
        <v>0.02</v>
      </c>
      <c r="C13" s="54" t="s">
        <v>131</v>
      </c>
      <c r="D13" s="54" t="s">
        <v>14</v>
      </c>
      <c r="E13" s="48">
        <v>0</v>
      </c>
      <c r="F13" s="54" t="s">
        <v>13</v>
      </c>
      <c r="G13" s="43">
        <v>0.02</v>
      </c>
      <c r="I13" s="58" t="s">
        <v>152</v>
      </c>
      <c r="J13" s="43">
        <v>0.8</v>
      </c>
      <c r="K13" s="42">
        <f t="shared" si="0"/>
        <v>0.8</v>
      </c>
      <c r="L13" s="60">
        <v>3.2726999999999999E-2</v>
      </c>
      <c r="M13" s="35">
        <f t="shared" si="1"/>
        <v>24.444648149845694</v>
      </c>
      <c r="N13" s="35">
        <f t="shared" si="2"/>
        <v>0.48889296299691387</v>
      </c>
    </row>
    <row r="14" spans="1:15" x14ac:dyDescent="0.25">
      <c r="A14" s="40" t="s">
        <v>81</v>
      </c>
      <c r="B14" s="45">
        <v>0.06</v>
      </c>
      <c r="C14" s="54" t="s">
        <v>131</v>
      </c>
      <c r="D14" s="54" t="s">
        <v>14</v>
      </c>
      <c r="E14" s="48">
        <v>0</v>
      </c>
      <c r="F14" s="54" t="s">
        <v>13</v>
      </c>
      <c r="H14" s="43">
        <v>0.06</v>
      </c>
      <c r="I14" s="58" t="s">
        <v>153</v>
      </c>
      <c r="J14" s="43">
        <v>1</v>
      </c>
      <c r="K14" s="42">
        <f t="shared" si="0"/>
        <v>1</v>
      </c>
      <c r="L14" s="60">
        <v>3.2726999999999999E-2</v>
      </c>
      <c r="M14" s="35">
        <f t="shared" si="1"/>
        <v>30.555810187307117</v>
      </c>
      <c r="N14" s="35">
        <f t="shared" si="2"/>
        <v>1.833348611238427</v>
      </c>
    </row>
    <row r="15" spans="1:15" x14ac:dyDescent="0.25">
      <c r="A15" s="40" t="s">
        <v>82</v>
      </c>
      <c r="B15" s="45">
        <v>0.06</v>
      </c>
      <c r="C15" s="54" t="s">
        <v>131</v>
      </c>
      <c r="D15" s="54" t="s">
        <v>14</v>
      </c>
      <c r="E15" s="51">
        <v>0</v>
      </c>
      <c r="F15" s="54" t="s">
        <v>13</v>
      </c>
      <c r="G15" s="43">
        <v>0.06</v>
      </c>
      <c r="I15" s="58" t="s">
        <v>152</v>
      </c>
      <c r="J15" s="43">
        <v>0.8</v>
      </c>
      <c r="K15" s="42">
        <f t="shared" si="0"/>
        <v>0.8</v>
      </c>
      <c r="L15" s="60">
        <v>3.2726999999999999E-2</v>
      </c>
      <c r="M15" s="35">
        <f t="shared" si="1"/>
        <v>24.444648149845694</v>
      </c>
      <c r="N15" s="35">
        <f t="shared" si="2"/>
        <v>1.4666788889907416</v>
      </c>
    </row>
    <row r="16" spans="1:15" x14ac:dyDescent="0.25">
      <c r="A16" s="40" t="s">
        <v>83</v>
      </c>
      <c r="B16" s="45">
        <v>0.53</v>
      </c>
      <c r="C16" s="54" t="s">
        <v>131</v>
      </c>
      <c r="D16" s="54" t="s">
        <v>14</v>
      </c>
      <c r="E16" s="51">
        <v>0</v>
      </c>
      <c r="F16" s="54" t="s">
        <v>131</v>
      </c>
      <c r="I16" s="58" t="s">
        <v>150</v>
      </c>
      <c r="J16" s="43">
        <v>0.5</v>
      </c>
      <c r="K16" s="42">
        <f t="shared" si="0"/>
        <v>0.5</v>
      </c>
      <c r="L16" s="60">
        <v>3.2726999999999999E-2</v>
      </c>
      <c r="M16" s="35">
        <f t="shared" si="1"/>
        <v>15.277905093653558</v>
      </c>
      <c r="N16" s="35">
        <f t="shared" si="2"/>
        <v>8.0972896996363861</v>
      </c>
    </row>
    <row r="17" spans="1:15" x14ac:dyDescent="0.25">
      <c r="A17" s="40" t="s">
        <v>84</v>
      </c>
      <c r="B17" s="45">
        <v>1.49</v>
      </c>
      <c r="C17" s="54" t="s">
        <v>131</v>
      </c>
      <c r="D17" s="54" t="s">
        <v>14</v>
      </c>
      <c r="E17" s="51">
        <v>0</v>
      </c>
      <c r="F17" s="54" t="s">
        <v>145</v>
      </c>
      <c r="G17" s="43">
        <v>0.37</v>
      </c>
      <c r="H17" s="43">
        <v>1.1200000000000001</v>
      </c>
      <c r="I17" s="58" t="s">
        <v>149</v>
      </c>
      <c r="J17" s="43">
        <v>1</v>
      </c>
      <c r="K17" s="42">
        <f t="shared" si="0"/>
        <v>1</v>
      </c>
      <c r="L17" s="60">
        <v>3.2726999999999999E-2</v>
      </c>
      <c r="M17" s="35">
        <f t="shared" si="1"/>
        <v>30.555810187307117</v>
      </c>
      <c r="N17" s="35">
        <f t="shared" si="2"/>
        <v>45.5281571790876</v>
      </c>
      <c r="O17" s="37"/>
    </row>
    <row r="18" spans="1:15" x14ac:dyDescent="0.25">
      <c r="A18" s="40" t="s">
        <v>85</v>
      </c>
      <c r="B18" s="45">
        <v>0.35</v>
      </c>
      <c r="C18" s="54" t="s">
        <v>131</v>
      </c>
      <c r="D18" s="54" t="s">
        <v>135</v>
      </c>
      <c r="E18" s="51">
        <v>0.25</v>
      </c>
      <c r="F18" s="54" t="s">
        <v>145</v>
      </c>
      <c r="G18" s="43">
        <v>0.04</v>
      </c>
      <c r="H18" s="43">
        <v>0.31</v>
      </c>
      <c r="I18" s="58" t="s">
        <v>149</v>
      </c>
      <c r="J18" s="43">
        <v>1</v>
      </c>
      <c r="K18" s="42">
        <f t="shared" si="0"/>
        <v>0.75</v>
      </c>
      <c r="L18" s="60">
        <v>3.2726999999999999E-2</v>
      </c>
      <c r="M18" s="35">
        <f t="shared" si="1"/>
        <v>22.916857640480337</v>
      </c>
      <c r="N18" s="35">
        <f t="shared" si="2"/>
        <v>8.0209001741681174</v>
      </c>
    </row>
    <row r="19" spans="1:15" x14ac:dyDescent="0.25">
      <c r="A19" s="40" t="s">
        <v>86</v>
      </c>
      <c r="B19" s="45">
        <v>2.82</v>
      </c>
      <c r="C19" s="54" t="s">
        <v>131</v>
      </c>
      <c r="D19" s="54" t="s">
        <v>14</v>
      </c>
      <c r="E19" s="51">
        <v>0</v>
      </c>
      <c r="F19" s="54" t="s">
        <v>131</v>
      </c>
      <c r="I19" s="58" t="s">
        <v>136</v>
      </c>
      <c r="J19" s="43">
        <v>0.5</v>
      </c>
      <c r="K19" s="42">
        <f t="shared" si="0"/>
        <v>0.5</v>
      </c>
      <c r="L19" s="60">
        <v>3.2726999999999999E-2</v>
      </c>
      <c r="M19" s="35">
        <f t="shared" si="1"/>
        <v>15.277905093653558</v>
      </c>
      <c r="N19" s="35">
        <f t="shared" si="2"/>
        <v>43.08369236410303</v>
      </c>
    </row>
    <row r="20" spans="1:15" x14ac:dyDescent="0.25">
      <c r="A20" s="40" t="s">
        <v>87</v>
      </c>
      <c r="B20" s="45">
        <v>0.11</v>
      </c>
      <c r="C20" s="54" t="s">
        <v>131</v>
      </c>
      <c r="D20" s="54" t="s">
        <v>14</v>
      </c>
      <c r="E20" s="51">
        <v>0</v>
      </c>
      <c r="F20" s="54" t="s">
        <v>131</v>
      </c>
      <c r="I20" s="58" t="s">
        <v>14</v>
      </c>
      <c r="J20" s="43">
        <v>0</v>
      </c>
      <c r="K20" s="42">
        <f t="shared" si="0"/>
        <v>0</v>
      </c>
      <c r="L20" s="60">
        <v>3.2726999999999999E-2</v>
      </c>
      <c r="M20" s="35">
        <f t="shared" si="1"/>
        <v>0</v>
      </c>
      <c r="N20" s="35">
        <f t="shared" si="2"/>
        <v>0</v>
      </c>
    </row>
    <row r="21" spans="1:15" x14ac:dyDescent="0.25">
      <c r="A21" s="40" t="s">
        <v>88</v>
      </c>
      <c r="B21" s="45">
        <v>0.67</v>
      </c>
      <c r="C21" s="54" t="s">
        <v>131</v>
      </c>
      <c r="D21" s="54" t="s">
        <v>14</v>
      </c>
      <c r="E21" s="51">
        <v>0</v>
      </c>
      <c r="F21" s="54" t="s">
        <v>131</v>
      </c>
      <c r="I21" s="58" t="s">
        <v>136</v>
      </c>
      <c r="J21" s="43">
        <v>0.5</v>
      </c>
      <c r="K21" s="42">
        <f t="shared" si="0"/>
        <v>0.5</v>
      </c>
      <c r="L21" s="60">
        <v>3.2726999999999999E-2</v>
      </c>
      <c r="M21" s="35">
        <f t="shared" si="1"/>
        <v>15.277905093653558</v>
      </c>
      <c r="N21" s="35">
        <f t="shared" si="2"/>
        <v>10.236196412747885</v>
      </c>
    </row>
    <row r="22" spans="1:15" x14ac:dyDescent="0.25">
      <c r="A22" s="40" t="s">
        <v>89</v>
      </c>
      <c r="B22" s="45">
        <v>0.18</v>
      </c>
      <c r="C22" s="54" t="s">
        <v>131</v>
      </c>
      <c r="D22" s="54" t="s">
        <v>135</v>
      </c>
      <c r="E22" s="51">
        <v>0.25</v>
      </c>
      <c r="F22" s="54" t="s">
        <v>131</v>
      </c>
      <c r="I22" s="58" t="s">
        <v>136</v>
      </c>
      <c r="J22" s="43">
        <v>0.5</v>
      </c>
      <c r="K22" s="42">
        <f t="shared" si="0"/>
        <v>0.25</v>
      </c>
      <c r="L22" s="60">
        <v>3.2726999999999999E-2</v>
      </c>
      <c r="M22" s="35">
        <f t="shared" si="1"/>
        <v>7.6389525468267792</v>
      </c>
      <c r="N22" s="35">
        <f t="shared" si="2"/>
        <v>1.3750114584288202</v>
      </c>
    </row>
    <row r="23" spans="1:15" x14ac:dyDescent="0.25">
      <c r="A23" s="40" t="s">
        <v>90</v>
      </c>
      <c r="B23" s="45">
        <v>0.42</v>
      </c>
      <c r="C23" s="54" t="s">
        <v>131</v>
      </c>
      <c r="D23" s="54" t="s">
        <v>14</v>
      </c>
      <c r="E23" s="51">
        <v>0</v>
      </c>
      <c r="F23" s="54" t="s">
        <v>131</v>
      </c>
      <c r="I23" s="58" t="s">
        <v>136</v>
      </c>
      <c r="J23" s="43">
        <v>0.5</v>
      </c>
      <c r="K23" s="42">
        <f t="shared" si="0"/>
        <v>0.5</v>
      </c>
      <c r="L23" s="60">
        <v>3.2726999999999999E-2</v>
      </c>
      <c r="M23" s="35">
        <f t="shared" si="1"/>
        <v>15.277905093653558</v>
      </c>
      <c r="N23" s="35">
        <f t="shared" si="2"/>
        <v>6.4167201393344939</v>
      </c>
    </row>
    <row r="24" spans="1:15" x14ac:dyDescent="0.25">
      <c r="A24" s="40" t="s">
        <v>91</v>
      </c>
      <c r="B24" s="45">
        <v>0.11</v>
      </c>
      <c r="C24" s="54" t="s">
        <v>131</v>
      </c>
      <c r="D24" s="54" t="s">
        <v>14</v>
      </c>
      <c r="E24" s="51">
        <v>0</v>
      </c>
      <c r="F24" s="54" t="s">
        <v>145</v>
      </c>
      <c r="H24" s="43">
        <v>0.11</v>
      </c>
      <c r="I24" s="58" t="s">
        <v>149</v>
      </c>
      <c r="J24" s="43">
        <v>1</v>
      </c>
      <c r="K24" s="42">
        <f t="shared" si="0"/>
        <v>1</v>
      </c>
      <c r="L24" s="60">
        <v>3.2726999999999999E-2</v>
      </c>
      <c r="M24" s="35">
        <f t="shared" si="1"/>
        <v>30.555810187307117</v>
      </c>
      <c r="N24" s="35">
        <f t="shared" si="2"/>
        <v>3.3611391206037831</v>
      </c>
    </row>
    <row r="25" spans="1:15" x14ac:dyDescent="0.25">
      <c r="A25" s="40" t="s">
        <v>92</v>
      </c>
      <c r="B25" s="45">
        <v>0.11</v>
      </c>
      <c r="C25" s="54" t="s">
        <v>131</v>
      </c>
      <c r="D25" s="54" t="s">
        <v>135</v>
      </c>
      <c r="E25" s="51">
        <v>0.25</v>
      </c>
      <c r="F25" s="54" t="s">
        <v>131</v>
      </c>
      <c r="I25" s="58" t="s">
        <v>136</v>
      </c>
      <c r="J25" s="43">
        <v>0.5</v>
      </c>
      <c r="K25" s="42">
        <f t="shared" si="0"/>
        <v>0.25</v>
      </c>
      <c r="L25" s="60">
        <v>3.2726999999999999E-2</v>
      </c>
      <c r="M25" s="35">
        <f t="shared" si="1"/>
        <v>7.6389525468267792</v>
      </c>
      <c r="N25" s="35">
        <f t="shared" si="2"/>
        <v>0.84028478015094576</v>
      </c>
    </row>
    <row r="26" spans="1:15" x14ac:dyDescent="0.25">
      <c r="A26" s="40" t="s">
        <v>93</v>
      </c>
      <c r="B26" s="45">
        <v>0.02</v>
      </c>
      <c r="C26" s="54" t="s">
        <v>131</v>
      </c>
      <c r="D26" s="54" t="s">
        <v>14</v>
      </c>
      <c r="E26" s="51">
        <v>0</v>
      </c>
      <c r="F26" s="54" t="s">
        <v>13</v>
      </c>
      <c r="G26" s="43">
        <v>0.02</v>
      </c>
      <c r="I26" s="58" t="s">
        <v>154</v>
      </c>
      <c r="J26" s="43">
        <v>0.8</v>
      </c>
      <c r="K26" s="42">
        <f t="shared" si="0"/>
        <v>0.8</v>
      </c>
      <c r="L26" s="60">
        <v>3.2726999999999999E-2</v>
      </c>
      <c r="M26" s="35">
        <f t="shared" si="1"/>
        <v>24.444648149845694</v>
      </c>
      <c r="N26" s="35">
        <f t="shared" si="2"/>
        <v>0.48889296299691387</v>
      </c>
    </row>
    <row r="27" spans="1:15" x14ac:dyDescent="0.25">
      <c r="A27" s="40" t="s">
        <v>94</v>
      </c>
      <c r="B27" s="45">
        <v>0.23</v>
      </c>
      <c r="C27" s="54" t="s">
        <v>131</v>
      </c>
      <c r="D27" s="54" t="s">
        <v>134</v>
      </c>
      <c r="E27" s="51">
        <v>0</v>
      </c>
      <c r="F27" s="54" t="s">
        <v>13</v>
      </c>
      <c r="G27" s="43">
        <v>0.01</v>
      </c>
      <c r="H27" s="43">
        <v>0.23</v>
      </c>
      <c r="I27" s="58" t="s">
        <v>155</v>
      </c>
      <c r="J27" s="43">
        <v>1</v>
      </c>
      <c r="K27" s="42">
        <f t="shared" si="0"/>
        <v>1</v>
      </c>
      <c r="L27" s="60">
        <v>3.2726999999999999E-2</v>
      </c>
      <c r="M27" s="35">
        <f t="shared" si="1"/>
        <v>30.555810187307117</v>
      </c>
      <c r="N27" s="35">
        <f t="shared" si="2"/>
        <v>7.0278363430806374</v>
      </c>
    </row>
    <row r="28" spans="1:15" x14ac:dyDescent="0.25">
      <c r="A28" s="40" t="s">
        <v>95</v>
      </c>
      <c r="B28" s="45">
        <v>0.22</v>
      </c>
      <c r="C28" s="54" t="s">
        <v>131</v>
      </c>
      <c r="D28" s="54" t="s">
        <v>134</v>
      </c>
      <c r="E28" s="51">
        <v>0</v>
      </c>
      <c r="F28" s="54" t="s">
        <v>13</v>
      </c>
      <c r="G28" s="43">
        <v>0.22</v>
      </c>
      <c r="I28" s="58" t="s">
        <v>154</v>
      </c>
      <c r="J28" s="43">
        <v>0.8</v>
      </c>
      <c r="K28" s="42">
        <f t="shared" si="0"/>
        <v>0.8</v>
      </c>
      <c r="L28" s="60">
        <v>3.2726999999999999E-2</v>
      </c>
      <c r="M28" s="35">
        <f t="shared" si="1"/>
        <v>24.444648149845694</v>
      </c>
      <c r="N28" s="35">
        <f t="shared" si="2"/>
        <v>5.3778225929660524</v>
      </c>
    </row>
    <row r="29" spans="1:15" x14ac:dyDescent="0.25">
      <c r="A29" s="40" t="s">
        <v>96</v>
      </c>
      <c r="B29" s="45">
        <v>0.27</v>
      </c>
      <c r="C29" s="54" t="s">
        <v>131</v>
      </c>
      <c r="D29" s="54" t="s">
        <v>134</v>
      </c>
      <c r="E29" s="51">
        <v>0</v>
      </c>
      <c r="F29" s="54" t="s">
        <v>13</v>
      </c>
      <c r="H29" s="43">
        <v>0.27</v>
      </c>
      <c r="I29" s="58" t="s">
        <v>155</v>
      </c>
      <c r="J29" s="43">
        <v>1</v>
      </c>
      <c r="K29" s="42">
        <f t="shared" si="0"/>
        <v>1</v>
      </c>
      <c r="L29" s="60">
        <v>3.2726999999999999E-2</v>
      </c>
      <c r="M29" s="35">
        <f t="shared" si="1"/>
        <v>30.555810187307117</v>
      </c>
      <c r="N29" s="35">
        <f t="shared" si="2"/>
        <v>8.2500687505729218</v>
      </c>
    </row>
    <row r="30" spans="1:15" x14ac:dyDescent="0.25">
      <c r="A30" s="40" t="s">
        <v>97</v>
      </c>
      <c r="B30" s="45">
        <v>0.1</v>
      </c>
      <c r="C30" s="54" t="s">
        <v>131</v>
      </c>
      <c r="D30" s="54" t="s">
        <v>134</v>
      </c>
      <c r="E30" s="51">
        <v>0</v>
      </c>
      <c r="F30" s="54" t="s">
        <v>13</v>
      </c>
      <c r="G30" s="43">
        <v>0.08</v>
      </c>
      <c r="H30" s="43">
        <v>0.01</v>
      </c>
      <c r="I30" s="58" t="s">
        <v>155</v>
      </c>
      <c r="J30" s="43">
        <v>1</v>
      </c>
      <c r="K30" s="42">
        <f t="shared" si="0"/>
        <v>1</v>
      </c>
      <c r="L30" s="60">
        <v>3.2726999999999999E-2</v>
      </c>
      <c r="M30" s="35">
        <f t="shared" si="1"/>
        <v>30.555810187307117</v>
      </c>
      <c r="N30" s="35">
        <f t="shared" si="2"/>
        <v>3.0555810187307118</v>
      </c>
    </row>
    <row r="31" spans="1:15" x14ac:dyDescent="0.25">
      <c r="A31" s="40" t="s">
        <v>98</v>
      </c>
      <c r="B31" s="45">
        <v>0.1</v>
      </c>
      <c r="C31" s="54" t="s">
        <v>131</v>
      </c>
      <c r="D31" s="54" t="s">
        <v>134</v>
      </c>
      <c r="E31" s="51">
        <v>0</v>
      </c>
      <c r="F31" s="54" t="s">
        <v>145</v>
      </c>
      <c r="G31" s="43">
        <v>0.1</v>
      </c>
      <c r="I31" s="58" t="s">
        <v>149</v>
      </c>
      <c r="J31" s="43">
        <v>1</v>
      </c>
      <c r="K31" s="42">
        <f t="shared" si="0"/>
        <v>1</v>
      </c>
      <c r="L31" s="60">
        <v>3.2726999999999999E-2</v>
      </c>
      <c r="M31" s="35">
        <f t="shared" si="1"/>
        <v>30.555810187307117</v>
      </c>
      <c r="N31" s="35">
        <f t="shared" si="2"/>
        <v>3.0555810187307118</v>
      </c>
    </row>
    <row r="32" spans="1:15" x14ac:dyDescent="0.25">
      <c r="A32" s="40" t="s">
        <v>99</v>
      </c>
      <c r="B32" s="45">
        <v>7.0000000000000007E-2</v>
      </c>
      <c r="C32" s="54" t="s">
        <v>131</v>
      </c>
      <c r="D32" s="54" t="s">
        <v>134</v>
      </c>
      <c r="E32" s="51">
        <v>0</v>
      </c>
      <c r="F32" s="54" t="s">
        <v>145</v>
      </c>
      <c r="G32" s="43">
        <v>0.01</v>
      </c>
      <c r="H32" s="43">
        <v>0.06</v>
      </c>
      <c r="I32" s="58" t="s">
        <v>149</v>
      </c>
      <c r="J32" s="43">
        <v>1</v>
      </c>
      <c r="K32" s="42">
        <f t="shared" si="0"/>
        <v>1</v>
      </c>
      <c r="L32" s="60">
        <v>3.2726999999999999E-2</v>
      </c>
      <c r="M32" s="35">
        <f t="shared" si="1"/>
        <v>30.555810187307117</v>
      </c>
      <c r="N32" s="35">
        <f t="shared" si="2"/>
        <v>2.1389067131114983</v>
      </c>
    </row>
    <row r="33" spans="1:14" x14ac:dyDescent="0.25">
      <c r="A33" s="40" t="s">
        <v>100</v>
      </c>
      <c r="B33" s="45">
        <v>0.18</v>
      </c>
      <c r="C33" s="54" t="s">
        <v>131</v>
      </c>
      <c r="D33" s="54" t="s">
        <v>134</v>
      </c>
      <c r="E33" s="51">
        <v>0</v>
      </c>
      <c r="F33" s="54" t="s">
        <v>131</v>
      </c>
      <c r="I33" s="58" t="s">
        <v>136</v>
      </c>
      <c r="J33" s="43">
        <v>0.5</v>
      </c>
      <c r="K33" s="42">
        <f t="shared" si="0"/>
        <v>0.5</v>
      </c>
      <c r="L33" s="60">
        <v>3.2726999999999999E-2</v>
      </c>
      <c r="M33" s="35">
        <f t="shared" si="1"/>
        <v>15.277905093653558</v>
      </c>
      <c r="N33" s="35">
        <f t="shared" si="2"/>
        <v>2.7500229168576404</v>
      </c>
    </row>
    <row r="34" spans="1:14" x14ac:dyDescent="0.25">
      <c r="A34" s="40" t="s">
        <v>101</v>
      </c>
      <c r="B34" s="45">
        <v>0.05</v>
      </c>
      <c r="C34" s="54" t="s">
        <v>131</v>
      </c>
      <c r="D34" s="54" t="s">
        <v>134</v>
      </c>
      <c r="E34" s="51">
        <v>0</v>
      </c>
      <c r="F34" s="54" t="s">
        <v>13</v>
      </c>
      <c r="H34" s="43">
        <v>0.05</v>
      </c>
      <c r="I34" s="58" t="s">
        <v>155</v>
      </c>
      <c r="J34" s="43">
        <v>1</v>
      </c>
      <c r="K34" s="42">
        <f t="shared" si="0"/>
        <v>1</v>
      </c>
      <c r="L34" s="60">
        <v>3.2726999999999999E-2</v>
      </c>
      <c r="M34" s="35">
        <f t="shared" si="1"/>
        <v>30.555810187307117</v>
      </c>
      <c r="N34" s="35">
        <f t="shared" si="2"/>
        <v>1.5277905093653559</v>
      </c>
    </row>
    <row r="35" spans="1:14" x14ac:dyDescent="0.25">
      <c r="A35" s="40" t="s">
        <v>102</v>
      </c>
      <c r="B35" s="45">
        <v>0.18</v>
      </c>
      <c r="C35" s="54" t="s">
        <v>131</v>
      </c>
      <c r="D35" s="54" t="s">
        <v>134</v>
      </c>
      <c r="E35" s="51">
        <v>0</v>
      </c>
      <c r="F35" s="54" t="s">
        <v>131</v>
      </c>
      <c r="I35" s="58" t="s">
        <v>136</v>
      </c>
      <c r="J35" s="43">
        <v>0.5</v>
      </c>
      <c r="K35" s="42">
        <f t="shared" si="0"/>
        <v>0.5</v>
      </c>
      <c r="L35" s="60">
        <v>3.2726999999999999E-2</v>
      </c>
      <c r="M35" s="35">
        <f t="shared" si="1"/>
        <v>15.277905093653558</v>
      </c>
      <c r="N35" s="35">
        <f t="shared" si="2"/>
        <v>2.7500229168576404</v>
      </c>
    </row>
    <row r="36" spans="1:14" x14ac:dyDescent="0.25">
      <c r="A36" s="40" t="s">
        <v>103</v>
      </c>
      <c r="B36" s="45">
        <v>0.33</v>
      </c>
      <c r="C36" s="54" t="s">
        <v>131</v>
      </c>
      <c r="D36" s="54" t="s">
        <v>134</v>
      </c>
      <c r="E36" s="51">
        <v>0</v>
      </c>
      <c r="F36" s="54" t="s">
        <v>131</v>
      </c>
      <c r="I36" s="58" t="s">
        <v>136</v>
      </c>
      <c r="J36" s="43">
        <v>0.5</v>
      </c>
      <c r="K36" s="42">
        <f t="shared" si="0"/>
        <v>0.5</v>
      </c>
      <c r="L36" s="60">
        <v>3.2726999999999999E-2</v>
      </c>
      <c r="M36" s="35">
        <f t="shared" si="1"/>
        <v>15.277905093653558</v>
      </c>
      <c r="N36" s="35">
        <f t="shared" si="2"/>
        <v>5.0417086809056748</v>
      </c>
    </row>
    <row r="37" spans="1:14" x14ac:dyDescent="0.25">
      <c r="A37" s="40" t="s">
        <v>104</v>
      </c>
      <c r="B37" s="45">
        <v>0.03</v>
      </c>
      <c r="C37" s="54" t="s">
        <v>131</v>
      </c>
      <c r="D37" s="54" t="s">
        <v>136</v>
      </c>
      <c r="E37" s="51">
        <v>0</v>
      </c>
      <c r="F37" s="54" t="s">
        <v>13</v>
      </c>
      <c r="G37" s="43">
        <v>0.02</v>
      </c>
      <c r="I37" s="58" t="s">
        <v>154</v>
      </c>
      <c r="J37" s="43">
        <v>0.8</v>
      </c>
      <c r="K37" s="42">
        <f t="shared" si="0"/>
        <v>0.8</v>
      </c>
      <c r="L37" s="60">
        <v>3.2726999999999999E-2</v>
      </c>
      <c r="M37" s="35">
        <f t="shared" si="1"/>
        <v>24.444648149845694</v>
      </c>
      <c r="N37" s="35">
        <f t="shared" si="2"/>
        <v>0.73333944449537081</v>
      </c>
    </row>
    <row r="38" spans="1:14" x14ac:dyDescent="0.25">
      <c r="A38" s="40" t="s">
        <v>105</v>
      </c>
      <c r="B38" s="45">
        <v>0.04</v>
      </c>
      <c r="C38" s="54" t="s">
        <v>131</v>
      </c>
      <c r="D38" s="54" t="s">
        <v>136</v>
      </c>
      <c r="E38" s="51">
        <v>0</v>
      </c>
      <c r="F38" s="54" t="s">
        <v>13</v>
      </c>
      <c r="G38" s="43">
        <v>0.04</v>
      </c>
      <c r="I38" s="58" t="s">
        <v>154</v>
      </c>
      <c r="J38" s="43">
        <v>0.8</v>
      </c>
      <c r="K38" s="42">
        <f t="shared" si="0"/>
        <v>0.8</v>
      </c>
      <c r="L38" s="60">
        <v>3.2726999999999999E-2</v>
      </c>
      <c r="M38" s="35">
        <f t="shared" si="1"/>
        <v>24.444648149845694</v>
      </c>
      <c r="N38" s="35">
        <f t="shared" si="2"/>
        <v>0.97778592599382774</v>
      </c>
    </row>
    <row r="39" spans="1:14" x14ac:dyDescent="0.25">
      <c r="A39" s="40" t="s">
        <v>106</v>
      </c>
      <c r="B39" s="45">
        <v>0.03</v>
      </c>
      <c r="C39" s="54" t="s">
        <v>131</v>
      </c>
      <c r="D39" s="54" t="s">
        <v>136</v>
      </c>
      <c r="E39" s="51">
        <v>0</v>
      </c>
      <c r="F39" s="54" t="s">
        <v>13</v>
      </c>
      <c r="G39" s="43">
        <v>0.03</v>
      </c>
      <c r="I39" s="58" t="s">
        <v>154</v>
      </c>
      <c r="J39" s="43">
        <v>0.8</v>
      </c>
      <c r="K39" s="42">
        <f t="shared" si="0"/>
        <v>0.8</v>
      </c>
      <c r="L39" s="60">
        <v>3.2726999999999999E-2</v>
      </c>
      <c r="M39" s="35">
        <f t="shared" si="1"/>
        <v>24.444648149845694</v>
      </c>
      <c r="N39" s="35">
        <f t="shared" si="2"/>
        <v>0.73333944449537081</v>
      </c>
    </row>
    <row r="40" spans="1:14" x14ac:dyDescent="0.25">
      <c r="A40" s="40" t="s">
        <v>107</v>
      </c>
      <c r="B40" s="45">
        <v>0.1</v>
      </c>
      <c r="C40" s="54" t="s">
        <v>13</v>
      </c>
      <c r="D40" s="54" t="s">
        <v>137</v>
      </c>
      <c r="E40" s="51">
        <v>0.05</v>
      </c>
      <c r="F40" s="54" t="s">
        <v>13</v>
      </c>
      <c r="G40" s="43">
        <v>0.1</v>
      </c>
      <c r="I40" s="58" t="s">
        <v>154</v>
      </c>
      <c r="J40" s="43">
        <v>0.8</v>
      </c>
      <c r="K40" s="42">
        <f t="shared" si="0"/>
        <v>0.75</v>
      </c>
      <c r="L40" s="60">
        <v>3.2726999999999999E-2</v>
      </c>
      <c r="M40" s="35">
        <f t="shared" si="1"/>
        <v>22.916857640480337</v>
      </c>
      <c r="N40" s="35">
        <f t="shared" si="2"/>
        <v>2.2916857640480339</v>
      </c>
    </row>
    <row r="41" spans="1:14" x14ac:dyDescent="0.25">
      <c r="A41" s="40" t="s">
        <v>108</v>
      </c>
      <c r="B41" s="45">
        <v>0.14000000000000001</v>
      </c>
      <c r="C41" s="54" t="s">
        <v>13</v>
      </c>
      <c r="D41" s="54" t="s">
        <v>137</v>
      </c>
      <c r="E41" s="51">
        <v>0.05</v>
      </c>
      <c r="F41" s="54" t="s">
        <v>13</v>
      </c>
      <c r="G41" s="43">
        <v>0.14000000000000001</v>
      </c>
      <c r="I41" s="58" t="s">
        <v>154</v>
      </c>
      <c r="J41" s="43">
        <v>0.8</v>
      </c>
      <c r="K41" s="42">
        <f t="shared" si="0"/>
        <v>0.75</v>
      </c>
      <c r="L41" s="60">
        <v>3.2726999999999999E-2</v>
      </c>
      <c r="M41" s="35">
        <f t="shared" si="1"/>
        <v>22.916857640480337</v>
      </c>
      <c r="N41" s="35">
        <f t="shared" si="2"/>
        <v>3.2083600696672474</v>
      </c>
    </row>
    <row r="42" spans="1:14" x14ac:dyDescent="0.25">
      <c r="A42" s="40" t="s">
        <v>109</v>
      </c>
      <c r="B42" s="45">
        <v>0.06</v>
      </c>
      <c r="C42" s="54" t="s">
        <v>13</v>
      </c>
      <c r="D42" s="54" t="s">
        <v>138</v>
      </c>
      <c r="E42" s="51">
        <v>0.09</v>
      </c>
      <c r="F42" s="54" t="s">
        <v>13</v>
      </c>
      <c r="H42" s="43">
        <v>0.06</v>
      </c>
      <c r="I42" s="58" t="s">
        <v>155</v>
      </c>
      <c r="J42" s="43">
        <v>1</v>
      </c>
      <c r="K42" s="42">
        <f t="shared" si="0"/>
        <v>0.91</v>
      </c>
      <c r="L42" s="60">
        <v>3.2726999999999999E-2</v>
      </c>
      <c r="M42" s="35">
        <f t="shared" si="1"/>
        <v>27.805787270449478</v>
      </c>
      <c r="N42" s="35">
        <f t="shared" si="2"/>
        <v>1.6683472362269687</v>
      </c>
    </row>
    <row r="43" spans="1:14" x14ac:dyDescent="0.25">
      <c r="A43" s="40" t="s">
        <v>110</v>
      </c>
      <c r="B43" s="45">
        <v>0.1</v>
      </c>
      <c r="C43" s="54" t="s">
        <v>13</v>
      </c>
      <c r="D43" s="54" t="s">
        <v>138</v>
      </c>
      <c r="E43" s="51">
        <v>0.09</v>
      </c>
      <c r="F43" s="54" t="s">
        <v>13</v>
      </c>
      <c r="H43" s="43">
        <v>0.1</v>
      </c>
      <c r="I43" s="58" t="s">
        <v>155</v>
      </c>
      <c r="J43" s="43">
        <v>1</v>
      </c>
      <c r="K43" s="42">
        <f t="shared" si="0"/>
        <v>0.91</v>
      </c>
      <c r="L43" s="60">
        <v>3.2726999999999999E-2</v>
      </c>
      <c r="M43" s="35">
        <f t="shared" si="1"/>
        <v>27.805787270449478</v>
      </c>
      <c r="N43" s="35">
        <f t="shared" si="2"/>
        <v>2.780578727044948</v>
      </c>
    </row>
    <row r="44" spans="1:14" x14ac:dyDescent="0.25">
      <c r="A44" s="40" t="s">
        <v>111</v>
      </c>
      <c r="B44" s="45">
        <v>0.05</v>
      </c>
      <c r="C44" s="54" t="s">
        <v>13</v>
      </c>
      <c r="D44" s="54" t="s">
        <v>138</v>
      </c>
      <c r="E44" s="51">
        <v>0.09</v>
      </c>
      <c r="F44" s="54" t="s">
        <v>13</v>
      </c>
      <c r="H44" s="43">
        <v>0.05</v>
      </c>
      <c r="I44" s="58" t="s">
        <v>155</v>
      </c>
      <c r="J44" s="43">
        <v>1</v>
      </c>
      <c r="K44" s="42">
        <f t="shared" si="0"/>
        <v>0.91</v>
      </c>
      <c r="L44" s="60">
        <v>3.2726999999999999E-2</v>
      </c>
      <c r="M44" s="35">
        <f t="shared" si="1"/>
        <v>27.805787270449478</v>
      </c>
      <c r="N44" s="35">
        <f t="shared" si="2"/>
        <v>1.390289363522474</v>
      </c>
    </row>
    <row r="45" spans="1:14" x14ac:dyDescent="0.25">
      <c r="A45" s="40" t="s">
        <v>112</v>
      </c>
      <c r="B45" s="45">
        <v>0.08</v>
      </c>
      <c r="C45" s="54" t="s">
        <v>13</v>
      </c>
      <c r="D45" s="54" t="s">
        <v>137</v>
      </c>
      <c r="E45" s="51">
        <v>0.05</v>
      </c>
      <c r="F45" s="54" t="s">
        <v>13</v>
      </c>
      <c r="G45" s="43">
        <v>0.08</v>
      </c>
      <c r="I45" s="58" t="s">
        <v>154</v>
      </c>
      <c r="J45" s="43">
        <v>0.8</v>
      </c>
      <c r="K45" s="42">
        <f t="shared" si="0"/>
        <v>0.75</v>
      </c>
      <c r="L45" s="60">
        <v>3.2726999999999999E-2</v>
      </c>
      <c r="M45" s="35">
        <f t="shared" si="1"/>
        <v>22.916857640480337</v>
      </c>
      <c r="N45" s="35">
        <f t="shared" si="2"/>
        <v>1.833348611238427</v>
      </c>
    </row>
    <row r="46" spans="1:14" x14ac:dyDescent="0.25">
      <c r="A46" s="40" t="s">
        <v>113</v>
      </c>
      <c r="B46" s="45">
        <v>0.06</v>
      </c>
      <c r="C46" s="54" t="s">
        <v>13</v>
      </c>
      <c r="D46" s="54" t="s">
        <v>137</v>
      </c>
      <c r="E46" s="51">
        <v>0.05</v>
      </c>
      <c r="F46" s="54" t="s">
        <v>13</v>
      </c>
      <c r="G46" s="43">
        <v>0.06</v>
      </c>
      <c r="I46" s="58" t="s">
        <v>154</v>
      </c>
      <c r="J46" s="43">
        <v>0.8</v>
      </c>
      <c r="K46" s="42">
        <f t="shared" si="0"/>
        <v>0.75</v>
      </c>
      <c r="L46" s="60">
        <v>3.2726999999999999E-2</v>
      </c>
      <c r="M46" s="35">
        <f t="shared" si="1"/>
        <v>22.916857640480337</v>
      </c>
      <c r="N46" s="35">
        <f t="shared" si="2"/>
        <v>1.3750114584288202</v>
      </c>
    </row>
    <row r="47" spans="1:14" x14ac:dyDescent="0.25">
      <c r="A47" s="40" t="s">
        <v>114</v>
      </c>
      <c r="B47" s="45">
        <v>0.08</v>
      </c>
      <c r="C47" s="54" t="s">
        <v>13</v>
      </c>
      <c r="D47" s="54" t="s">
        <v>137</v>
      </c>
      <c r="E47" s="51">
        <v>0.05</v>
      </c>
      <c r="F47" s="54" t="s">
        <v>13</v>
      </c>
      <c r="G47" s="43">
        <v>0.08</v>
      </c>
      <c r="I47" s="58" t="s">
        <v>154</v>
      </c>
      <c r="J47" s="43">
        <v>0.8</v>
      </c>
      <c r="K47" s="42">
        <f t="shared" si="0"/>
        <v>0.75</v>
      </c>
      <c r="L47" s="60">
        <v>3.2726999999999999E-2</v>
      </c>
      <c r="M47" s="35">
        <f t="shared" si="1"/>
        <v>22.916857640480337</v>
      </c>
      <c r="N47" s="35">
        <f t="shared" si="2"/>
        <v>1.833348611238427</v>
      </c>
    </row>
    <row r="48" spans="1:14" x14ac:dyDescent="0.25">
      <c r="A48" s="40" t="s">
        <v>115</v>
      </c>
      <c r="B48" s="45">
        <v>7.0000000000000007E-2</v>
      </c>
      <c r="C48" s="54" t="s">
        <v>13</v>
      </c>
      <c r="D48" s="54" t="s">
        <v>137</v>
      </c>
      <c r="E48" s="51">
        <v>0.05</v>
      </c>
      <c r="F48" s="54" t="s">
        <v>13</v>
      </c>
      <c r="G48" s="43">
        <v>7.0000000000000007E-2</v>
      </c>
      <c r="I48" s="58" t="s">
        <v>154</v>
      </c>
      <c r="J48" s="43">
        <v>0.8</v>
      </c>
      <c r="K48" s="42">
        <f t="shared" si="0"/>
        <v>0.75</v>
      </c>
      <c r="L48" s="60">
        <v>3.2726999999999999E-2</v>
      </c>
      <c r="M48" s="35">
        <f t="shared" si="1"/>
        <v>22.916857640480337</v>
      </c>
      <c r="N48" s="35">
        <f t="shared" si="2"/>
        <v>1.6041800348336237</v>
      </c>
    </row>
    <row r="49" spans="1:15" x14ac:dyDescent="0.25">
      <c r="A49" s="40" t="s">
        <v>116</v>
      </c>
      <c r="B49" s="45">
        <v>0.23</v>
      </c>
      <c r="C49" s="54" t="s">
        <v>13</v>
      </c>
      <c r="D49" s="54" t="s">
        <v>139</v>
      </c>
      <c r="E49" s="51">
        <v>0.1</v>
      </c>
      <c r="F49" s="54" t="s">
        <v>13</v>
      </c>
      <c r="G49" s="43">
        <v>0.23</v>
      </c>
      <c r="H49" s="43">
        <v>0.01</v>
      </c>
      <c r="I49" s="58" t="s">
        <v>154</v>
      </c>
      <c r="J49" s="43">
        <v>0.8</v>
      </c>
      <c r="K49" s="42">
        <f t="shared" si="0"/>
        <v>0.70000000000000007</v>
      </c>
      <c r="L49" s="60">
        <v>3.2726999999999999E-2</v>
      </c>
      <c r="M49" s="35">
        <f t="shared" si="1"/>
        <v>21.389067131114984</v>
      </c>
      <c r="N49" s="35">
        <f t="shared" si="2"/>
        <v>4.9194854401564463</v>
      </c>
    </row>
    <row r="50" spans="1:15" x14ac:dyDescent="0.25">
      <c r="A50" s="40" t="s">
        <v>117</v>
      </c>
      <c r="B50" s="45">
        <v>0.06</v>
      </c>
      <c r="C50" s="54" t="s">
        <v>13</v>
      </c>
      <c r="D50" s="54" t="s">
        <v>139</v>
      </c>
      <c r="E50" s="51">
        <v>0.1</v>
      </c>
      <c r="F50" s="54" t="s">
        <v>13</v>
      </c>
      <c r="H50" s="43">
        <v>0.06</v>
      </c>
      <c r="I50" s="58" t="s">
        <v>155</v>
      </c>
      <c r="J50" s="43">
        <v>1</v>
      </c>
      <c r="K50" s="42">
        <f t="shared" si="0"/>
        <v>0.9</v>
      </c>
      <c r="L50" s="60">
        <v>3.2726999999999999E-2</v>
      </c>
      <c r="M50" s="35">
        <f t="shared" si="1"/>
        <v>27.500229168576407</v>
      </c>
      <c r="N50" s="35">
        <f t="shared" si="2"/>
        <v>1.6500137501145844</v>
      </c>
    </row>
    <row r="51" spans="1:15" x14ac:dyDescent="0.25">
      <c r="A51" s="40" t="s">
        <v>118</v>
      </c>
      <c r="B51" s="45">
        <v>0.14000000000000001</v>
      </c>
      <c r="C51" s="54" t="s">
        <v>13</v>
      </c>
      <c r="D51" s="54" t="s">
        <v>139</v>
      </c>
      <c r="E51" s="51">
        <v>0.1</v>
      </c>
      <c r="F51" s="54" t="s">
        <v>13</v>
      </c>
      <c r="G51" s="43">
        <v>0.14000000000000001</v>
      </c>
      <c r="I51" s="58" t="s">
        <v>154</v>
      </c>
      <c r="J51" s="43">
        <v>0.8</v>
      </c>
      <c r="K51" s="42">
        <f t="shared" si="0"/>
        <v>0.70000000000000007</v>
      </c>
      <c r="L51" s="60">
        <v>3.2726999999999999E-2</v>
      </c>
      <c r="M51" s="35">
        <f t="shared" si="1"/>
        <v>21.389067131114984</v>
      </c>
      <c r="N51" s="35">
        <f t="shared" si="2"/>
        <v>2.9944693983560979</v>
      </c>
    </row>
    <row r="52" spans="1:15" x14ac:dyDescent="0.25">
      <c r="A52" s="40" t="s">
        <v>119</v>
      </c>
      <c r="B52" s="45">
        <v>0.05</v>
      </c>
      <c r="C52" s="54" t="s">
        <v>13</v>
      </c>
      <c r="D52" s="54" t="s">
        <v>139</v>
      </c>
      <c r="E52" s="51">
        <v>0.1</v>
      </c>
      <c r="F52" s="54" t="s">
        <v>13</v>
      </c>
      <c r="H52" s="43">
        <v>0.05</v>
      </c>
      <c r="I52" s="58" t="s">
        <v>155</v>
      </c>
      <c r="J52" s="43">
        <v>1</v>
      </c>
      <c r="K52" s="42">
        <f t="shared" si="0"/>
        <v>0.9</v>
      </c>
      <c r="L52" s="60">
        <v>3.2726999999999999E-2</v>
      </c>
      <c r="M52" s="35">
        <f t="shared" si="1"/>
        <v>27.500229168576407</v>
      </c>
      <c r="N52" s="35">
        <f t="shared" si="2"/>
        <v>1.3750114584288204</v>
      </c>
    </row>
    <row r="53" spans="1:15" x14ac:dyDescent="0.25">
      <c r="A53" s="40" t="s">
        <v>120</v>
      </c>
      <c r="B53" s="45">
        <v>0.4</v>
      </c>
      <c r="C53" s="54" t="s">
        <v>13</v>
      </c>
      <c r="D53" s="54" t="s">
        <v>138</v>
      </c>
      <c r="E53" s="51">
        <v>0.1</v>
      </c>
      <c r="F53" s="54" t="s">
        <v>13</v>
      </c>
      <c r="G53" s="43">
        <v>0.4</v>
      </c>
      <c r="I53" s="58" t="s">
        <v>154</v>
      </c>
      <c r="J53" s="43">
        <v>0.8</v>
      </c>
      <c r="K53" s="42">
        <f t="shared" si="0"/>
        <v>0.70000000000000007</v>
      </c>
      <c r="L53" s="60">
        <v>3.2726999999999999E-2</v>
      </c>
      <c r="M53" s="35">
        <f t="shared" si="1"/>
        <v>21.389067131114984</v>
      </c>
      <c r="N53" s="35">
        <f t="shared" si="2"/>
        <v>8.5556268524459949</v>
      </c>
    </row>
    <row r="54" spans="1:15" x14ac:dyDescent="0.25">
      <c r="A54" s="40" t="s">
        <v>121</v>
      </c>
      <c r="B54" s="45">
        <v>0.06</v>
      </c>
      <c r="C54" s="54" t="s">
        <v>13</v>
      </c>
      <c r="D54" s="54" t="s">
        <v>140</v>
      </c>
      <c r="E54" s="51">
        <v>0.1</v>
      </c>
      <c r="F54" s="54" t="s">
        <v>13</v>
      </c>
      <c r="H54" s="43">
        <v>0.06</v>
      </c>
      <c r="I54" s="58" t="s">
        <v>155</v>
      </c>
      <c r="J54" s="43">
        <v>0.8</v>
      </c>
      <c r="K54" s="42">
        <f t="shared" si="0"/>
        <v>0.70000000000000007</v>
      </c>
      <c r="L54" s="60">
        <v>3.2726999999999999E-2</v>
      </c>
      <c r="M54" s="35">
        <f t="shared" si="1"/>
        <v>21.389067131114984</v>
      </c>
      <c r="N54" s="35">
        <f t="shared" si="2"/>
        <v>1.2833440278668991</v>
      </c>
    </row>
    <row r="55" spans="1:15" x14ac:dyDescent="0.25">
      <c r="A55" s="40" t="s">
        <v>122</v>
      </c>
      <c r="B55" s="45">
        <v>7.0000000000000007E-2</v>
      </c>
      <c r="C55" s="54" t="s">
        <v>13</v>
      </c>
      <c r="D55" s="54" t="s">
        <v>140</v>
      </c>
      <c r="E55" s="51">
        <v>0.1</v>
      </c>
      <c r="F55" s="54" t="s">
        <v>13</v>
      </c>
      <c r="G55" s="43">
        <v>7.0000000000000007E-2</v>
      </c>
      <c r="I55" s="58" t="s">
        <v>154</v>
      </c>
      <c r="J55" s="43">
        <v>0.8</v>
      </c>
      <c r="K55" s="42">
        <f t="shared" si="0"/>
        <v>0.70000000000000007</v>
      </c>
      <c r="L55" s="60">
        <v>3.2726999999999999E-2</v>
      </c>
      <c r="M55" s="35">
        <f t="shared" si="1"/>
        <v>21.389067131114984</v>
      </c>
      <c r="N55" s="35">
        <f t="shared" si="2"/>
        <v>1.497234699178049</v>
      </c>
    </row>
    <row r="56" spans="1:15" x14ac:dyDescent="0.25">
      <c r="A56" s="40" t="s">
        <v>123</v>
      </c>
      <c r="B56" s="45">
        <v>0.2</v>
      </c>
      <c r="C56" s="54" t="s">
        <v>132</v>
      </c>
      <c r="D56" s="54" t="s">
        <v>140</v>
      </c>
      <c r="E56" s="51">
        <v>0.1</v>
      </c>
      <c r="F56" s="54" t="s">
        <v>132</v>
      </c>
      <c r="G56" s="43">
        <v>0.2</v>
      </c>
      <c r="I56" s="58" t="s">
        <v>156</v>
      </c>
      <c r="J56" s="43">
        <v>1</v>
      </c>
      <c r="K56" s="42">
        <f t="shared" si="0"/>
        <v>0.9</v>
      </c>
      <c r="L56" s="60">
        <v>3.2726999999999999E-2</v>
      </c>
      <c r="M56" s="35">
        <f t="shared" si="1"/>
        <v>27.500229168576407</v>
      </c>
      <c r="N56" s="35">
        <f t="shared" si="2"/>
        <v>5.5000458337152818</v>
      </c>
    </row>
    <row r="57" spans="1:15" x14ac:dyDescent="0.25">
      <c r="A57" s="40" t="s">
        <v>124</v>
      </c>
      <c r="B57" s="45">
        <v>3.85</v>
      </c>
      <c r="C57" s="54" t="s">
        <v>132</v>
      </c>
      <c r="D57" s="54" t="s">
        <v>141</v>
      </c>
      <c r="E57" s="51">
        <v>0.1</v>
      </c>
      <c r="F57" s="54" t="s">
        <v>132</v>
      </c>
      <c r="G57" s="43">
        <v>3.85</v>
      </c>
      <c r="I57" s="58" t="s">
        <v>156</v>
      </c>
      <c r="J57" s="43">
        <v>1</v>
      </c>
      <c r="K57" s="42">
        <f t="shared" si="0"/>
        <v>0.9</v>
      </c>
      <c r="L57" s="60">
        <v>3.2726999999999999E-2</v>
      </c>
      <c r="M57" s="35">
        <f t="shared" si="1"/>
        <v>27.500229168576407</v>
      </c>
      <c r="N57" s="35">
        <f t="shared" si="2"/>
        <v>105.87588229901917</v>
      </c>
    </row>
    <row r="58" spans="1:15" x14ac:dyDescent="0.25">
      <c r="A58" s="40" t="s">
        <v>125</v>
      </c>
      <c r="B58" s="45">
        <v>0.02</v>
      </c>
      <c r="C58" s="54" t="s">
        <v>132</v>
      </c>
      <c r="D58" s="54" t="s">
        <v>140</v>
      </c>
      <c r="E58" s="51">
        <v>0.1</v>
      </c>
      <c r="F58" s="54" t="s">
        <v>132</v>
      </c>
      <c r="G58" s="43">
        <v>0.02</v>
      </c>
      <c r="I58" s="58" t="s">
        <v>156</v>
      </c>
      <c r="J58" s="43">
        <v>1</v>
      </c>
      <c r="K58" s="42">
        <f t="shared" si="0"/>
        <v>0.9</v>
      </c>
      <c r="L58" s="60">
        <v>3.2726999999999999E-2</v>
      </c>
      <c r="M58" s="35">
        <f t="shared" si="1"/>
        <v>27.500229168576407</v>
      </c>
      <c r="N58" s="35">
        <f t="shared" si="2"/>
        <v>0.55000458337152813</v>
      </c>
    </row>
    <row r="59" spans="1:15" x14ac:dyDescent="0.25">
      <c r="A59" s="40" t="s">
        <v>126</v>
      </c>
      <c r="B59" s="45">
        <v>0.86</v>
      </c>
      <c r="C59" s="54" t="s">
        <v>132</v>
      </c>
      <c r="D59" s="54" t="s">
        <v>142</v>
      </c>
      <c r="E59" s="51">
        <v>0.1</v>
      </c>
      <c r="F59" s="54" t="s">
        <v>132</v>
      </c>
      <c r="G59" s="43">
        <v>0.86</v>
      </c>
      <c r="I59" s="58" t="s">
        <v>156</v>
      </c>
      <c r="J59" s="43">
        <v>1</v>
      </c>
      <c r="K59" s="42">
        <f t="shared" si="0"/>
        <v>0.9</v>
      </c>
      <c r="L59" s="60">
        <v>3.2726999999999999E-2</v>
      </c>
      <c r="M59" s="35">
        <f t="shared" si="1"/>
        <v>27.500229168576407</v>
      </c>
      <c r="N59" s="35">
        <f t="shared" si="2"/>
        <v>23.650197084975709</v>
      </c>
    </row>
    <row r="60" spans="1:15" x14ac:dyDescent="0.25">
      <c r="A60" s="40" t="s">
        <v>127</v>
      </c>
      <c r="B60" s="45">
        <v>0.13</v>
      </c>
      <c r="C60" s="54" t="s">
        <v>13</v>
      </c>
      <c r="D60" s="54" t="s">
        <v>139</v>
      </c>
      <c r="E60" s="51">
        <v>0.1</v>
      </c>
      <c r="F60" s="54" t="s">
        <v>13</v>
      </c>
      <c r="H60" s="43">
        <v>0.13</v>
      </c>
      <c r="I60" s="58" t="s">
        <v>155</v>
      </c>
      <c r="J60" s="43">
        <v>1</v>
      </c>
      <c r="K60" s="42">
        <f t="shared" si="0"/>
        <v>0.9</v>
      </c>
      <c r="L60" s="60">
        <v>3.2726999999999999E-2</v>
      </c>
      <c r="M60" s="35">
        <f t="shared" si="1"/>
        <v>27.500229168576407</v>
      </c>
      <c r="N60" s="35">
        <f t="shared" si="2"/>
        <v>3.575029791914933</v>
      </c>
    </row>
    <row r="61" spans="1:15" x14ac:dyDescent="0.25">
      <c r="A61" s="40" t="s">
        <v>128</v>
      </c>
      <c r="B61" s="45">
        <v>0.12</v>
      </c>
      <c r="C61" s="54" t="s">
        <v>13</v>
      </c>
      <c r="D61" s="54" t="s">
        <v>138</v>
      </c>
      <c r="E61" s="51">
        <v>0.1</v>
      </c>
      <c r="F61" s="54" t="s">
        <v>13</v>
      </c>
      <c r="G61" s="43">
        <v>0.12</v>
      </c>
      <c r="I61" s="58" t="s">
        <v>154</v>
      </c>
      <c r="J61" s="43">
        <v>0.8</v>
      </c>
      <c r="K61" s="42">
        <f t="shared" si="0"/>
        <v>0.70000000000000007</v>
      </c>
      <c r="L61" s="60">
        <v>3.2726999999999999E-2</v>
      </c>
      <c r="M61" s="35">
        <f t="shared" si="1"/>
        <v>21.389067131114984</v>
      </c>
      <c r="N61" s="35">
        <f t="shared" si="2"/>
        <v>2.5666880557337981</v>
      </c>
    </row>
    <row r="62" spans="1:15" x14ac:dyDescent="0.25">
      <c r="A62" s="40" t="s">
        <v>129</v>
      </c>
      <c r="B62" s="45">
        <v>0.64</v>
      </c>
      <c r="C62" s="54" t="s">
        <v>132</v>
      </c>
      <c r="D62" s="54" t="s">
        <v>141</v>
      </c>
      <c r="E62" s="51">
        <v>0.1</v>
      </c>
      <c r="F62" s="54" t="s">
        <v>132</v>
      </c>
      <c r="G62" s="43">
        <v>0.64</v>
      </c>
      <c r="I62" s="58" t="s">
        <v>156</v>
      </c>
      <c r="J62" s="43">
        <v>1</v>
      </c>
      <c r="K62" s="42">
        <f t="shared" si="0"/>
        <v>0.9</v>
      </c>
      <c r="L62" s="60">
        <v>3.2726999999999999E-2</v>
      </c>
      <c r="M62" s="35">
        <f t="shared" si="1"/>
        <v>27.500229168576407</v>
      </c>
      <c r="N62" s="35">
        <f t="shared" si="2"/>
        <v>17.6001466678889</v>
      </c>
    </row>
    <row r="63" spans="1:15" x14ac:dyDescent="0.25">
      <c r="A63" s="62" t="s">
        <v>161</v>
      </c>
      <c r="B63" s="47">
        <f xml:space="preserve"> SUM(B2:B62)</f>
        <v>27.830000000000002</v>
      </c>
      <c r="D63" s="55"/>
      <c r="G63" s="43">
        <f>SUM(G2:G62)</f>
        <v>8.5200000000000014</v>
      </c>
      <c r="H63" s="43">
        <f>SUM(H2:H62)</f>
        <v>4.6899999999999977</v>
      </c>
      <c r="K63" s="43">
        <f>SUM(K2:K62)</f>
        <v>43.842500000000008</v>
      </c>
      <c r="M63" s="61" t="s">
        <v>160</v>
      </c>
      <c r="N63" s="43">
        <f>SUM(N2:N62)</f>
        <v>529.29079964555251</v>
      </c>
      <c r="O63" s="28"/>
    </row>
    <row r="64" spans="1:15" x14ac:dyDescent="0.25">
      <c r="A64" s="71"/>
      <c r="B64" s="72"/>
      <c r="C64" s="64"/>
      <c r="D64" s="64"/>
      <c r="E64" s="73"/>
      <c r="F64" s="64"/>
    </row>
    <row r="65" spans="1:10" x14ac:dyDescent="0.25">
      <c r="A65" s="86"/>
      <c r="B65" s="87" t="s">
        <v>173</v>
      </c>
      <c r="C65" s="88" t="s">
        <v>174</v>
      </c>
      <c r="D65" s="88" t="s">
        <v>168</v>
      </c>
      <c r="E65" s="89" t="s">
        <v>169</v>
      </c>
      <c r="F65" s="90" t="s">
        <v>170</v>
      </c>
      <c r="G65" s="63"/>
    </row>
    <row r="66" spans="1:10" x14ac:dyDescent="0.25">
      <c r="A66" s="91" t="s">
        <v>172</v>
      </c>
      <c r="B66" s="80">
        <v>75000</v>
      </c>
      <c r="C66" s="81">
        <v>125000</v>
      </c>
      <c r="D66" s="82">
        <f>N63/B63</f>
        <v>19.018713605661247</v>
      </c>
      <c r="E66" s="83">
        <f>D66</f>
        <v>19.018713605661247</v>
      </c>
      <c r="F66" s="92">
        <f>D66/E66</f>
        <v>1</v>
      </c>
      <c r="G66" s="63"/>
    </row>
    <row r="67" spans="1:10" x14ac:dyDescent="0.25">
      <c r="A67" s="93"/>
      <c r="B67" s="83"/>
      <c r="C67" s="78"/>
      <c r="D67" s="78"/>
      <c r="E67" s="84"/>
      <c r="F67" s="98"/>
      <c r="G67" s="69"/>
      <c r="H67" s="65"/>
      <c r="I67" s="66"/>
    </row>
    <row r="68" spans="1:10" x14ac:dyDescent="0.25">
      <c r="A68" s="93"/>
      <c r="B68" s="83"/>
      <c r="C68" s="78"/>
      <c r="D68" s="78" t="s">
        <v>179</v>
      </c>
      <c r="E68" s="79" t="s">
        <v>180</v>
      </c>
      <c r="F68" s="99"/>
      <c r="G68" s="70"/>
      <c r="H68" s="42"/>
      <c r="I68" s="57"/>
      <c r="J68" s="63"/>
    </row>
    <row r="69" spans="1:10" x14ac:dyDescent="0.25">
      <c r="A69" s="93" t="s">
        <v>175</v>
      </c>
      <c r="B69" s="85"/>
      <c r="C69" s="78"/>
      <c r="D69" s="78"/>
      <c r="E69" s="84"/>
      <c r="F69" s="99"/>
      <c r="G69" s="70"/>
      <c r="H69" s="42"/>
      <c r="I69" s="57"/>
      <c r="J69" s="63"/>
    </row>
    <row r="70" spans="1:10" x14ac:dyDescent="0.25">
      <c r="A70" s="93" t="s">
        <v>176</v>
      </c>
      <c r="B70" s="81">
        <f>B66*N63</f>
        <v>39696809.97341644</v>
      </c>
      <c r="C70" s="81">
        <f>C66*N63</f>
        <v>66161349.955694064</v>
      </c>
      <c r="D70" s="81">
        <f>B66*D66</f>
        <v>1426403.5204245935</v>
      </c>
      <c r="E70" s="81">
        <f>C66*D66</f>
        <v>2377339.2007076559</v>
      </c>
      <c r="F70" s="99"/>
      <c r="G70" s="70"/>
      <c r="H70" s="42" t="s">
        <v>45</v>
      </c>
      <c r="I70" s="57"/>
      <c r="J70" s="63"/>
    </row>
    <row r="71" spans="1:10" x14ac:dyDescent="0.25">
      <c r="A71" s="93" t="s">
        <v>177</v>
      </c>
      <c r="B71" s="83"/>
      <c r="C71" s="78"/>
      <c r="D71" s="78"/>
      <c r="E71" s="84"/>
      <c r="F71" s="98"/>
      <c r="G71" s="70"/>
      <c r="H71" s="42"/>
      <c r="I71" s="57"/>
      <c r="J71" s="63"/>
    </row>
    <row r="72" spans="1:10" x14ac:dyDescent="0.25">
      <c r="A72" s="93"/>
      <c r="B72" s="83"/>
      <c r="C72" s="78"/>
      <c r="D72" s="78"/>
      <c r="E72" s="84"/>
      <c r="F72" s="98"/>
      <c r="G72" s="70"/>
      <c r="H72" s="42"/>
      <c r="I72" s="57"/>
      <c r="J72" s="63"/>
    </row>
    <row r="73" spans="1:10" x14ac:dyDescent="0.25">
      <c r="A73" s="93" t="s">
        <v>175</v>
      </c>
      <c r="B73" s="83"/>
      <c r="C73" s="78"/>
      <c r="D73" s="78"/>
      <c r="E73" s="84"/>
      <c r="F73" s="98"/>
      <c r="G73" s="70"/>
      <c r="H73" s="42"/>
      <c r="I73" s="57"/>
      <c r="J73" s="63"/>
    </row>
    <row r="74" spans="1:10" x14ac:dyDescent="0.25">
      <c r="A74" s="93" t="s">
        <v>176</v>
      </c>
      <c r="B74" s="81">
        <f>B66*D66</f>
        <v>1426403.5204245935</v>
      </c>
      <c r="C74" s="81">
        <f>C66*E66</f>
        <v>2377339.2007076559</v>
      </c>
      <c r="D74" s="81">
        <f>B66*F66</f>
        <v>75000</v>
      </c>
      <c r="E74" s="81">
        <f>C66*F66</f>
        <v>125000</v>
      </c>
      <c r="F74" s="98"/>
      <c r="G74" s="70"/>
      <c r="H74" s="42"/>
      <c r="I74" s="57"/>
      <c r="J74" s="63"/>
    </row>
    <row r="75" spans="1:10" x14ac:dyDescent="0.25">
      <c r="A75" s="94" t="s">
        <v>178</v>
      </c>
      <c r="B75" s="95"/>
      <c r="C75" s="96"/>
      <c r="D75" s="96"/>
      <c r="E75" s="97"/>
      <c r="F75" s="100"/>
      <c r="G75" s="70"/>
      <c r="H75" s="42"/>
      <c r="I75" s="57"/>
      <c r="J75" s="63"/>
    </row>
    <row r="76" spans="1:10" x14ac:dyDescent="0.25">
      <c r="A76" s="74"/>
      <c r="B76" s="75"/>
      <c r="C76" s="67"/>
      <c r="D76" s="67"/>
      <c r="E76" s="76"/>
      <c r="F76" s="77"/>
      <c r="G76" s="42"/>
      <c r="H76" s="42"/>
      <c r="I76" s="57"/>
      <c r="J76" s="63"/>
    </row>
    <row r="77" spans="1:10" x14ac:dyDescent="0.25">
      <c r="B77" s="39"/>
      <c r="C77" s="53"/>
      <c r="D77" s="53"/>
      <c r="E77" s="103"/>
      <c r="F77" s="64"/>
      <c r="G77" s="65"/>
      <c r="H77" s="65"/>
      <c r="J77" s="63"/>
    </row>
    <row r="78" spans="1:10" ht="18.75" x14ac:dyDescent="0.3">
      <c r="A78" s="128" t="s">
        <v>267</v>
      </c>
      <c r="D78" s="101"/>
      <c r="E78" s="105" t="s">
        <v>162</v>
      </c>
      <c r="F78" s="106"/>
      <c r="G78" s="107"/>
      <c r="H78" s="108"/>
      <c r="I78" s="102"/>
    </row>
    <row r="79" spans="1:10" x14ac:dyDescent="0.25">
      <c r="D79" s="101"/>
      <c r="E79" s="109" t="s">
        <v>163</v>
      </c>
      <c r="F79" s="110"/>
      <c r="G79" s="111"/>
      <c r="H79" s="112"/>
      <c r="I79" s="102"/>
    </row>
    <row r="80" spans="1:10" x14ac:dyDescent="0.25">
      <c r="D80" s="101"/>
      <c r="E80" s="109" t="s">
        <v>182</v>
      </c>
      <c r="F80" s="110"/>
      <c r="G80" s="111"/>
      <c r="H80" s="112"/>
      <c r="I80" s="102"/>
    </row>
    <row r="81" spans="2:9" x14ac:dyDescent="0.25">
      <c r="D81" s="101"/>
      <c r="E81" s="109" t="s">
        <v>164</v>
      </c>
      <c r="F81" s="110"/>
      <c r="G81" s="111"/>
      <c r="H81" s="112"/>
      <c r="I81" s="102"/>
    </row>
    <row r="82" spans="2:9" x14ac:dyDescent="0.25">
      <c r="D82" s="101"/>
      <c r="E82" s="109" t="s">
        <v>165</v>
      </c>
      <c r="F82" s="110"/>
      <c r="G82" s="111"/>
      <c r="H82" s="112"/>
      <c r="I82" s="102"/>
    </row>
    <row r="83" spans="2:9" x14ac:dyDescent="0.25">
      <c r="D83" s="101"/>
      <c r="E83" s="109" t="s">
        <v>166</v>
      </c>
      <c r="F83" s="110"/>
      <c r="G83" s="111"/>
      <c r="H83" s="112"/>
      <c r="I83" s="102"/>
    </row>
    <row r="84" spans="2:9" x14ac:dyDescent="0.25">
      <c r="D84" s="101"/>
      <c r="E84" s="109" t="s">
        <v>167</v>
      </c>
      <c r="F84" s="110"/>
      <c r="G84" s="111"/>
      <c r="H84" s="112"/>
      <c r="I84" s="102"/>
    </row>
    <row r="85" spans="2:9" x14ac:dyDescent="0.25">
      <c r="D85" s="101"/>
      <c r="E85" s="113" t="s">
        <v>171</v>
      </c>
      <c r="F85" s="114"/>
      <c r="G85" s="115"/>
      <c r="H85" s="116"/>
      <c r="I85" s="102"/>
    </row>
    <row r="86" spans="2:9" x14ac:dyDescent="0.25">
      <c r="E86" s="104"/>
      <c r="F86" s="67"/>
      <c r="G86" s="68"/>
      <c r="H86" s="68"/>
    </row>
    <row r="88" spans="2:9" x14ac:dyDescent="0.25">
      <c r="B88" s="47" t="s">
        <v>62</v>
      </c>
    </row>
    <row r="89" spans="2:9" x14ac:dyDescent="0.25">
      <c r="B89" s="47" t="s">
        <v>159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F2DF4-5C98-472D-94F7-7007013E2BCD}">
  <dimension ref="A1:V112"/>
  <sheetViews>
    <sheetView topLeftCell="D42" zoomScaleNormal="100" workbookViewId="0">
      <selection activeCell="F73" sqref="F73"/>
    </sheetView>
  </sheetViews>
  <sheetFormatPr defaultRowHeight="15" x14ac:dyDescent="0.25"/>
  <cols>
    <col min="1" max="1" width="39.28515625" customWidth="1"/>
    <col min="2" max="2" width="15.140625" customWidth="1"/>
    <col min="3" max="3" width="39.5703125" customWidth="1"/>
    <col min="4" max="4" width="21.28515625" customWidth="1"/>
    <col min="5" max="5" width="37.5703125" customWidth="1"/>
    <col min="6" max="6" width="31.28515625" customWidth="1"/>
    <col min="7" max="8" width="28" customWidth="1"/>
    <col min="9" max="9" width="33.7109375" customWidth="1"/>
    <col min="10" max="10" width="22.140625" customWidth="1"/>
    <col min="11" max="11" width="21" customWidth="1"/>
    <col min="12" max="12" width="22.42578125" customWidth="1"/>
    <col min="13" max="13" width="24.140625" customWidth="1"/>
    <col min="14" max="14" width="30.28515625" customWidth="1"/>
    <col min="15" max="16" width="23.5703125" customWidth="1"/>
    <col min="17" max="17" width="29" customWidth="1"/>
    <col min="18" max="18" width="22.7109375" customWidth="1"/>
    <col min="19" max="19" width="44.42578125" customWidth="1"/>
    <col min="20" max="20" width="25" customWidth="1"/>
    <col min="21" max="21" width="23" customWidth="1"/>
    <col min="22" max="22" width="23.28515625" customWidth="1"/>
  </cols>
  <sheetData>
    <row r="1" spans="1:12" s="119" customFormat="1" x14ac:dyDescent="0.25">
      <c r="A1" s="118" t="s">
        <v>183</v>
      </c>
      <c r="B1" s="118" t="s">
        <v>5</v>
      </c>
      <c r="C1" s="118" t="s">
        <v>188</v>
      </c>
      <c r="D1" s="118" t="s">
        <v>184</v>
      </c>
      <c r="E1" s="118" t="s">
        <v>187</v>
      </c>
      <c r="F1" s="118" t="s">
        <v>188</v>
      </c>
      <c r="G1" s="118" t="s">
        <v>202</v>
      </c>
      <c r="H1" s="118" t="s">
        <v>203</v>
      </c>
      <c r="I1" s="118" t="s">
        <v>184</v>
      </c>
      <c r="J1" s="118" t="s">
        <v>185</v>
      </c>
      <c r="K1" s="118" t="s">
        <v>186</v>
      </c>
      <c r="L1" s="118" t="s">
        <v>189</v>
      </c>
    </row>
    <row r="2" spans="1:12" x14ac:dyDescent="0.25">
      <c r="A2" s="1" t="s">
        <v>190</v>
      </c>
      <c r="B2" s="1">
        <v>7.0000000000000007E-2</v>
      </c>
      <c r="C2" s="1">
        <v>0.1</v>
      </c>
      <c r="D2" s="1" t="s">
        <v>204</v>
      </c>
      <c r="E2" s="1" t="s">
        <v>205</v>
      </c>
      <c r="F2" s="1">
        <v>0.8</v>
      </c>
      <c r="G2" s="1">
        <f t="shared" ref="G2:G14" si="0">F2-C2</f>
        <v>0.70000000000000007</v>
      </c>
      <c r="H2" s="1">
        <v>0.03</v>
      </c>
      <c r="I2" s="1">
        <v>1</v>
      </c>
      <c r="J2" s="1">
        <f>G2/H2</f>
        <v>23.333333333333336</v>
      </c>
      <c r="K2" s="1">
        <v>0</v>
      </c>
      <c r="L2" s="1">
        <f t="shared" ref="L2:L14" si="1">(J2*B2) + (J2*K2)</f>
        <v>1.6333333333333337</v>
      </c>
    </row>
    <row r="3" spans="1:12" x14ac:dyDescent="0.25">
      <c r="A3" s="1" t="s">
        <v>191</v>
      </c>
      <c r="B3" s="1">
        <v>0.53</v>
      </c>
      <c r="C3" s="1">
        <v>0.05</v>
      </c>
      <c r="D3" s="1" t="s">
        <v>204</v>
      </c>
      <c r="E3" s="1" t="s">
        <v>205</v>
      </c>
      <c r="F3" s="1">
        <v>0.8</v>
      </c>
      <c r="G3" s="1">
        <f t="shared" si="0"/>
        <v>0.75</v>
      </c>
      <c r="H3" s="1">
        <v>0.03</v>
      </c>
      <c r="I3" s="1">
        <v>1</v>
      </c>
      <c r="J3" s="1">
        <f t="shared" ref="J3:J14" si="2">G3/H3</f>
        <v>25</v>
      </c>
      <c r="K3" s="1">
        <v>0</v>
      </c>
      <c r="L3" s="1">
        <f t="shared" si="1"/>
        <v>13.25</v>
      </c>
    </row>
    <row r="4" spans="1:12" x14ac:dyDescent="0.25">
      <c r="A4" s="1" t="s">
        <v>192</v>
      </c>
      <c r="B4" s="1">
        <v>0.37</v>
      </c>
      <c r="C4" s="1">
        <v>0.1</v>
      </c>
      <c r="D4" s="1" t="s">
        <v>204</v>
      </c>
      <c r="E4" s="1" t="s">
        <v>205</v>
      </c>
      <c r="F4" s="1">
        <v>0.8</v>
      </c>
      <c r="G4" s="1">
        <f t="shared" si="0"/>
        <v>0.70000000000000007</v>
      </c>
      <c r="H4" s="1">
        <v>0.03</v>
      </c>
      <c r="I4" s="1">
        <v>1</v>
      </c>
      <c r="J4" s="1">
        <f t="shared" si="2"/>
        <v>23.333333333333336</v>
      </c>
      <c r="K4" s="1">
        <v>0</v>
      </c>
      <c r="L4" s="1">
        <f t="shared" si="1"/>
        <v>8.6333333333333346</v>
      </c>
    </row>
    <row r="5" spans="1:12" x14ac:dyDescent="0.25">
      <c r="A5" s="1" t="s">
        <v>210</v>
      </c>
      <c r="B5" s="1">
        <v>0.52</v>
      </c>
      <c r="C5" s="1">
        <v>0.1</v>
      </c>
      <c r="D5" s="1" t="s">
        <v>204</v>
      </c>
      <c r="E5" s="1" t="s">
        <v>205</v>
      </c>
      <c r="F5" s="1">
        <v>0.8</v>
      </c>
      <c r="G5" s="1">
        <f t="shared" si="0"/>
        <v>0.70000000000000007</v>
      </c>
      <c r="H5" s="1">
        <v>0.03</v>
      </c>
      <c r="I5" s="1">
        <v>1</v>
      </c>
      <c r="J5" s="1">
        <f t="shared" si="2"/>
        <v>23.333333333333336</v>
      </c>
      <c r="K5" s="1">
        <v>0</v>
      </c>
      <c r="L5" s="1">
        <f t="shared" si="1"/>
        <v>12.133333333333335</v>
      </c>
    </row>
    <row r="6" spans="1:12" x14ac:dyDescent="0.25">
      <c r="A6" s="1" t="s">
        <v>193</v>
      </c>
      <c r="B6" s="1">
        <v>0.42</v>
      </c>
      <c r="C6" s="1">
        <v>0</v>
      </c>
      <c r="D6" s="1" t="s">
        <v>204</v>
      </c>
      <c r="E6" s="1" t="s">
        <v>205</v>
      </c>
      <c r="F6" s="1">
        <v>0.8</v>
      </c>
      <c r="G6" s="1">
        <f t="shared" si="0"/>
        <v>0.8</v>
      </c>
      <c r="H6" s="1">
        <v>0.03</v>
      </c>
      <c r="I6" s="1">
        <v>1</v>
      </c>
      <c r="J6" s="1">
        <f t="shared" si="2"/>
        <v>26.666666666666668</v>
      </c>
      <c r="K6" s="1">
        <v>0</v>
      </c>
      <c r="L6" s="1">
        <f t="shared" si="1"/>
        <v>11.2</v>
      </c>
    </row>
    <row r="7" spans="1:12" x14ac:dyDescent="0.25">
      <c r="A7" s="1" t="s">
        <v>194</v>
      </c>
      <c r="B7" s="1">
        <v>0.09</v>
      </c>
      <c r="C7" s="1">
        <v>0</v>
      </c>
      <c r="D7" s="1" t="s">
        <v>204</v>
      </c>
      <c r="E7" s="1" t="s">
        <v>205</v>
      </c>
      <c r="F7" s="1">
        <v>0.8</v>
      </c>
      <c r="G7" s="1">
        <f t="shared" si="0"/>
        <v>0.8</v>
      </c>
      <c r="H7" s="1">
        <v>0.03</v>
      </c>
      <c r="I7" s="1">
        <v>1</v>
      </c>
      <c r="J7" s="1">
        <f t="shared" si="2"/>
        <v>26.666666666666668</v>
      </c>
      <c r="K7" s="1">
        <v>0</v>
      </c>
      <c r="L7" s="1">
        <f t="shared" si="1"/>
        <v>2.4</v>
      </c>
    </row>
    <row r="8" spans="1:12" x14ac:dyDescent="0.25">
      <c r="A8" s="1" t="s">
        <v>195</v>
      </c>
      <c r="B8" s="1">
        <v>0.47</v>
      </c>
      <c r="C8" s="1">
        <v>0</v>
      </c>
      <c r="D8" s="1" t="s">
        <v>204</v>
      </c>
      <c r="E8" s="1" t="s">
        <v>205</v>
      </c>
      <c r="F8" s="1">
        <v>0.8</v>
      </c>
      <c r="G8" s="1">
        <f t="shared" si="0"/>
        <v>0.8</v>
      </c>
      <c r="H8" s="1">
        <v>0.03</v>
      </c>
      <c r="I8" s="1">
        <v>1</v>
      </c>
      <c r="J8" s="1">
        <f t="shared" si="2"/>
        <v>26.666666666666668</v>
      </c>
      <c r="K8" s="1">
        <v>0</v>
      </c>
      <c r="L8" s="1">
        <f t="shared" si="1"/>
        <v>12.533333333333333</v>
      </c>
    </row>
    <row r="9" spans="1:12" x14ac:dyDescent="0.25">
      <c r="A9" s="1" t="s">
        <v>196</v>
      </c>
      <c r="B9" s="1">
        <v>0.04</v>
      </c>
      <c r="C9" s="1">
        <v>0.2</v>
      </c>
      <c r="D9" s="1" t="s">
        <v>204</v>
      </c>
      <c r="E9" s="1" t="s">
        <v>205</v>
      </c>
      <c r="F9" s="1">
        <v>0.8</v>
      </c>
      <c r="G9" s="1">
        <f t="shared" si="0"/>
        <v>0.60000000000000009</v>
      </c>
      <c r="H9" s="1">
        <v>0.03</v>
      </c>
      <c r="I9" s="1">
        <v>1</v>
      </c>
      <c r="J9" s="1">
        <f t="shared" si="2"/>
        <v>20.000000000000004</v>
      </c>
      <c r="K9" s="1">
        <v>0.25</v>
      </c>
      <c r="L9" s="1">
        <f t="shared" si="1"/>
        <v>5.8000000000000007</v>
      </c>
    </row>
    <row r="10" spans="1:12" x14ac:dyDescent="0.25">
      <c r="A10" s="1" t="s">
        <v>197</v>
      </c>
      <c r="B10" s="1">
        <v>0.22</v>
      </c>
      <c r="C10" s="1">
        <v>0.1</v>
      </c>
      <c r="D10" s="1" t="s">
        <v>204</v>
      </c>
      <c r="E10" s="1" t="s">
        <v>205</v>
      </c>
      <c r="F10" s="1">
        <v>0.8</v>
      </c>
      <c r="G10" s="1">
        <f t="shared" si="0"/>
        <v>0.70000000000000007</v>
      </c>
      <c r="H10" s="1">
        <v>0.03</v>
      </c>
      <c r="I10" s="1">
        <v>1</v>
      </c>
      <c r="J10" s="1">
        <f t="shared" si="2"/>
        <v>23.333333333333336</v>
      </c>
      <c r="K10" s="1">
        <v>0</v>
      </c>
      <c r="L10" s="1">
        <f t="shared" si="1"/>
        <v>5.1333333333333337</v>
      </c>
    </row>
    <row r="11" spans="1:12" x14ac:dyDescent="0.25">
      <c r="A11" s="1" t="s">
        <v>198</v>
      </c>
      <c r="B11" s="1">
        <v>4.49</v>
      </c>
      <c r="C11" s="1">
        <v>0.1</v>
      </c>
      <c r="D11" s="1" t="s">
        <v>204</v>
      </c>
      <c r="E11" s="1" t="s">
        <v>205</v>
      </c>
      <c r="F11" s="1">
        <v>0.8</v>
      </c>
      <c r="G11" s="1">
        <f t="shared" si="0"/>
        <v>0.70000000000000007</v>
      </c>
      <c r="H11" s="1">
        <v>0.03</v>
      </c>
      <c r="I11" s="1">
        <v>1</v>
      </c>
      <c r="J11" s="1">
        <f t="shared" si="2"/>
        <v>23.333333333333336</v>
      </c>
      <c r="K11" s="1">
        <v>0</v>
      </c>
      <c r="L11" s="1">
        <f t="shared" si="1"/>
        <v>104.76666666666668</v>
      </c>
    </row>
    <row r="12" spans="1:12" x14ac:dyDescent="0.25">
      <c r="A12" s="1" t="s">
        <v>199</v>
      </c>
      <c r="B12" s="1">
        <v>0.86</v>
      </c>
      <c r="C12" s="1">
        <v>0.5</v>
      </c>
      <c r="D12" s="1" t="s">
        <v>204</v>
      </c>
      <c r="E12" s="1" t="s">
        <v>206</v>
      </c>
      <c r="F12" s="1">
        <v>1</v>
      </c>
      <c r="G12" s="1">
        <f t="shared" si="0"/>
        <v>0.5</v>
      </c>
      <c r="H12" s="1">
        <v>0.03</v>
      </c>
      <c r="I12" s="1">
        <v>1</v>
      </c>
      <c r="J12" s="1">
        <f t="shared" si="2"/>
        <v>16.666666666666668</v>
      </c>
      <c r="K12" s="1">
        <v>0</v>
      </c>
      <c r="L12" s="1">
        <f t="shared" si="1"/>
        <v>14.333333333333334</v>
      </c>
    </row>
    <row r="13" spans="1:12" x14ac:dyDescent="0.25">
      <c r="A13" s="1" t="s">
        <v>200</v>
      </c>
      <c r="B13" s="1">
        <v>0.1</v>
      </c>
      <c r="C13" s="1">
        <v>0.05</v>
      </c>
      <c r="D13" s="1" t="s">
        <v>204</v>
      </c>
      <c r="E13" s="1" t="s">
        <v>206</v>
      </c>
      <c r="F13" s="1">
        <v>1</v>
      </c>
      <c r="G13" s="1">
        <f t="shared" si="0"/>
        <v>0.95</v>
      </c>
      <c r="H13" s="1">
        <v>0.03</v>
      </c>
      <c r="I13" s="1">
        <v>1</v>
      </c>
      <c r="J13" s="1">
        <f t="shared" si="2"/>
        <v>31.666666666666668</v>
      </c>
      <c r="K13" s="1">
        <v>0.25</v>
      </c>
      <c r="L13" s="1">
        <f t="shared" si="1"/>
        <v>11.083333333333334</v>
      </c>
    </row>
    <row r="14" spans="1:12" x14ac:dyDescent="0.25">
      <c r="A14" s="1" t="s">
        <v>201</v>
      </c>
      <c r="B14" s="1">
        <v>0.34</v>
      </c>
      <c r="C14" s="1">
        <v>0</v>
      </c>
      <c r="D14" s="1" t="s">
        <v>204</v>
      </c>
      <c r="E14" s="1" t="s">
        <v>207</v>
      </c>
      <c r="F14" s="1">
        <v>1</v>
      </c>
      <c r="G14" s="1">
        <f t="shared" si="0"/>
        <v>1</v>
      </c>
      <c r="H14" s="1">
        <v>0.03</v>
      </c>
      <c r="I14" s="1">
        <v>1</v>
      </c>
      <c r="J14" s="1">
        <f t="shared" si="2"/>
        <v>33.333333333333336</v>
      </c>
      <c r="K14" s="1">
        <v>0</v>
      </c>
      <c r="L14" s="1">
        <f t="shared" si="1"/>
        <v>11.333333333333336</v>
      </c>
    </row>
    <row r="15" spans="1:12" x14ac:dyDescent="0.25">
      <c r="A15" s="117" t="s">
        <v>209</v>
      </c>
      <c r="B15" s="1">
        <f>SUM(B2:B14)</f>
        <v>8.52</v>
      </c>
      <c r="J15" t="s">
        <v>208</v>
      </c>
      <c r="L15" s="1">
        <f>SUM(L2:L14)</f>
        <v>214.23333333333338</v>
      </c>
    </row>
    <row r="19" spans="1:12" s="119" customFormat="1" x14ac:dyDescent="0.25">
      <c r="A19" s="118" t="s">
        <v>183</v>
      </c>
      <c r="B19" s="118" t="s">
        <v>5</v>
      </c>
      <c r="C19" s="118" t="s">
        <v>188</v>
      </c>
      <c r="D19" s="118" t="s">
        <v>184</v>
      </c>
      <c r="E19" s="118" t="s">
        <v>187</v>
      </c>
      <c r="F19" s="118" t="s">
        <v>188</v>
      </c>
      <c r="G19" s="118" t="s">
        <v>202</v>
      </c>
      <c r="H19" s="118" t="s">
        <v>203</v>
      </c>
      <c r="I19" s="118" t="s">
        <v>184</v>
      </c>
      <c r="J19" s="118" t="s">
        <v>185</v>
      </c>
      <c r="K19" s="118" t="s">
        <v>186</v>
      </c>
      <c r="L19" s="118" t="s">
        <v>189</v>
      </c>
    </row>
    <row r="20" spans="1:12" x14ac:dyDescent="0.25">
      <c r="A20" s="1" t="s">
        <v>190</v>
      </c>
      <c r="B20" s="1">
        <v>0.06</v>
      </c>
      <c r="C20" s="1">
        <v>0.1</v>
      </c>
      <c r="D20" s="1" t="s">
        <v>204</v>
      </c>
      <c r="E20" s="1" t="s">
        <v>214</v>
      </c>
      <c r="F20" s="1">
        <v>1</v>
      </c>
      <c r="G20" s="1">
        <f t="shared" ref="G20:G28" si="3">F20-C20</f>
        <v>0.9</v>
      </c>
      <c r="H20" s="1">
        <v>0.03</v>
      </c>
      <c r="I20" s="1">
        <v>3</v>
      </c>
      <c r="J20" s="1">
        <f>G20/H20</f>
        <v>30.000000000000004</v>
      </c>
      <c r="K20" s="1">
        <v>0</v>
      </c>
      <c r="L20" s="1">
        <f>(J20*B20) + (J20*B20 *K20)</f>
        <v>1.8</v>
      </c>
    </row>
    <row r="21" spans="1:12" x14ac:dyDescent="0.25">
      <c r="A21" s="1" t="s">
        <v>192</v>
      </c>
      <c r="B21" s="1">
        <v>0.25</v>
      </c>
      <c r="C21" s="1">
        <v>0.1</v>
      </c>
      <c r="D21" s="1" t="s">
        <v>204</v>
      </c>
      <c r="E21" s="1" t="s">
        <v>214</v>
      </c>
      <c r="F21" s="1">
        <v>1</v>
      </c>
      <c r="G21" s="1">
        <f t="shared" si="3"/>
        <v>0.9</v>
      </c>
      <c r="H21" s="1">
        <v>0.03</v>
      </c>
      <c r="I21" s="1">
        <v>3</v>
      </c>
      <c r="J21" s="1">
        <f t="shared" ref="J21:J28" si="4">G21/H21</f>
        <v>30.000000000000004</v>
      </c>
      <c r="K21" s="1">
        <v>0</v>
      </c>
      <c r="L21" s="1">
        <f t="shared" ref="L21:L28" si="5">(J21*B21) + (J21*B21 *K21)</f>
        <v>7.5000000000000009</v>
      </c>
    </row>
    <row r="22" spans="1:12" x14ac:dyDescent="0.25">
      <c r="A22" s="1" t="s">
        <v>211</v>
      </c>
      <c r="B22" s="1">
        <v>0.21</v>
      </c>
      <c r="C22" s="1">
        <v>0.09</v>
      </c>
      <c r="D22" s="1" t="s">
        <v>204</v>
      </c>
      <c r="E22" s="1" t="s">
        <v>214</v>
      </c>
      <c r="F22" s="1">
        <v>1</v>
      </c>
      <c r="G22" s="1">
        <f t="shared" si="3"/>
        <v>0.91</v>
      </c>
      <c r="H22" s="1">
        <v>0.03</v>
      </c>
      <c r="I22" s="1">
        <v>3</v>
      </c>
      <c r="J22" s="1">
        <f t="shared" si="4"/>
        <v>30.333333333333336</v>
      </c>
      <c r="K22" s="1">
        <v>0</v>
      </c>
      <c r="L22" s="1">
        <f t="shared" si="5"/>
        <v>6.37</v>
      </c>
    </row>
    <row r="23" spans="1:12" x14ac:dyDescent="0.25">
      <c r="A23" s="1" t="s">
        <v>193</v>
      </c>
      <c r="B23" s="1">
        <v>0.62</v>
      </c>
      <c r="C23" s="1">
        <v>0</v>
      </c>
      <c r="D23" s="1" t="s">
        <v>204</v>
      </c>
      <c r="E23" s="1" t="s">
        <v>214</v>
      </c>
      <c r="F23" s="1">
        <v>1</v>
      </c>
      <c r="G23" s="1">
        <f t="shared" si="3"/>
        <v>1</v>
      </c>
      <c r="H23" s="1">
        <v>0.03</v>
      </c>
      <c r="I23" s="1">
        <v>3</v>
      </c>
      <c r="J23" s="1">
        <f t="shared" si="4"/>
        <v>33.333333333333336</v>
      </c>
      <c r="K23" s="1">
        <v>0</v>
      </c>
      <c r="L23" s="1">
        <f t="shared" si="5"/>
        <v>20.666666666666668</v>
      </c>
    </row>
    <row r="24" spans="1:12" x14ac:dyDescent="0.25">
      <c r="A24" s="1" t="s">
        <v>196</v>
      </c>
      <c r="B24" s="1">
        <v>0.31</v>
      </c>
      <c r="C24" s="1">
        <v>0.2</v>
      </c>
      <c r="D24" s="1" t="s">
        <v>204</v>
      </c>
      <c r="E24" s="1" t="s">
        <v>214</v>
      </c>
      <c r="F24" s="1">
        <v>1</v>
      </c>
      <c r="G24" s="1">
        <f t="shared" si="3"/>
        <v>0.8</v>
      </c>
      <c r="H24" s="1">
        <v>0.03</v>
      </c>
      <c r="I24" s="1">
        <v>3</v>
      </c>
      <c r="J24" s="1">
        <f t="shared" si="4"/>
        <v>26.666666666666668</v>
      </c>
      <c r="K24" s="1">
        <v>0.25</v>
      </c>
      <c r="L24" s="1">
        <f t="shared" si="5"/>
        <v>10.333333333333334</v>
      </c>
    </row>
    <row r="25" spans="1:12" x14ac:dyDescent="0.25">
      <c r="A25" s="1" t="s">
        <v>195</v>
      </c>
      <c r="B25" s="1">
        <v>1.35</v>
      </c>
      <c r="C25" s="1">
        <v>0</v>
      </c>
      <c r="D25" s="1" t="s">
        <v>204</v>
      </c>
      <c r="E25" s="1" t="s">
        <v>214</v>
      </c>
      <c r="F25" s="1">
        <v>1</v>
      </c>
      <c r="G25" s="1">
        <f t="shared" si="3"/>
        <v>1</v>
      </c>
      <c r="H25" s="1">
        <v>0.03</v>
      </c>
      <c r="I25" s="1">
        <v>3</v>
      </c>
      <c r="J25" s="1">
        <f t="shared" si="4"/>
        <v>33.333333333333336</v>
      </c>
      <c r="K25" s="1">
        <v>0</v>
      </c>
      <c r="L25" s="1">
        <f t="shared" si="5"/>
        <v>45.000000000000007</v>
      </c>
    </row>
    <row r="26" spans="1:12" x14ac:dyDescent="0.25">
      <c r="A26" s="1" t="s">
        <v>212</v>
      </c>
      <c r="B26" s="1">
        <v>0.11</v>
      </c>
      <c r="C26" s="1">
        <v>0.1</v>
      </c>
      <c r="D26" s="1" t="s">
        <v>204</v>
      </c>
      <c r="E26" s="1" t="s">
        <v>214</v>
      </c>
      <c r="F26" s="1">
        <v>1</v>
      </c>
      <c r="G26" s="1">
        <f t="shared" si="3"/>
        <v>0.9</v>
      </c>
      <c r="H26" s="1">
        <v>0.03</v>
      </c>
      <c r="I26" s="1">
        <v>3</v>
      </c>
      <c r="J26" s="1">
        <f t="shared" si="4"/>
        <v>30.000000000000004</v>
      </c>
      <c r="K26" s="1">
        <v>0.25</v>
      </c>
      <c r="L26" s="1">
        <f t="shared" si="5"/>
        <v>4.125</v>
      </c>
    </row>
    <row r="27" spans="1:12" x14ac:dyDescent="0.25">
      <c r="A27" s="1" t="s">
        <v>200</v>
      </c>
      <c r="B27" s="1">
        <v>0.08</v>
      </c>
      <c r="C27" s="1">
        <v>0.05</v>
      </c>
      <c r="D27" s="1" t="s">
        <v>204</v>
      </c>
      <c r="E27" s="1" t="s">
        <v>214</v>
      </c>
      <c r="F27" s="1">
        <v>1</v>
      </c>
      <c r="G27" s="1">
        <f t="shared" si="3"/>
        <v>0.95</v>
      </c>
      <c r="H27" s="1">
        <v>0.03</v>
      </c>
      <c r="I27" s="1">
        <v>3</v>
      </c>
      <c r="J27" s="1">
        <f t="shared" si="4"/>
        <v>31.666666666666668</v>
      </c>
      <c r="K27" s="1">
        <v>0.25</v>
      </c>
      <c r="L27" s="1">
        <f t="shared" si="5"/>
        <v>3.166666666666667</v>
      </c>
    </row>
    <row r="28" spans="1:12" x14ac:dyDescent="0.25">
      <c r="A28" s="1" t="s">
        <v>201</v>
      </c>
      <c r="B28" s="1">
        <v>1.7</v>
      </c>
      <c r="C28" s="1">
        <v>0</v>
      </c>
      <c r="D28" s="1" t="s">
        <v>204</v>
      </c>
      <c r="E28" s="1" t="s">
        <v>206</v>
      </c>
      <c r="F28" s="1">
        <v>0.7</v>
      </c>
      <c r="G28" s="1">
        <f t="shared" si="3"/>
        <v>0.7</v>
      </c>
      <c r="H28" s="1">
        <v>0.03</v>
      </c>
      <c r="I28" s="1">
        <v>1</v>
      </c>
      <c r="J28" s="1">
        <f t="shared" si="4"/>
        <v>23.333333333333332</v>
      </c>
      <c r="K28" s="1">
        <v>0</v>
      </c>
      <c r="L28" s="1">
        <f t="shared" si="5"/>
        <v>39.666666666666664</v>
      </c>
    </row>
    <row r="29" spans="1:12" x14ac:dyDescent="0.25">
      <c r="A29" s="117" t="s">
        <v>209</v>
      </c>
      <c r="B29" s="1">
        <f>SUM(B20:B28)</f>
        <v>4.6900000000000004</v>
      </c>
      <c r="J29" t="s">
        <v>213</v>
      </c>
      <c r="L29" s="1">
        <f>SUM(L20:L28)</f>
        <v>138.62833333333336</v>
      </c>
    </row>
    <row r="30" spans="1:12" x14ac:dyDescent="0.25">
      <c r="A30" s="127"/>
      <c r="B30" s="8"/>
      <c r="L30" s="8"/>
    </row>
    <row r="31" spans="1:12" ht="18.75" x14ac:dyDescent="0.3">
      <c r="A31" s="128" t="s">
        <v>267</v>
      </c>
      <c r="B31" s="8"/>
      <c r="D31" t="s">
        <v>227</v>
      </c>
      <c r="L31" s="8"/>
    </row>
    <row r="32" spans="1:12" x14ac:dyDescent="0.25">
      <c r="K32" s="8" t="s">
        <v>215</v>
      </c>
    </row>
    <row r="33" spans="3:13" x14ac:dyDescent="0.25">
      <c r="C33" s="121" t="s">
        <v>216</v>
      </c>
      <c r="D33" s="121" t="s">
        <v>189</v>
      </c>
      <c r="E33" s="121" t="s">
        <v>5</v>
      </c>
      <c r="F33" s="121" t="s">
        <v>217</v>
      </c>
      <c r="G33" s="121" t="s">
        <v>225</v>
      </c>
      <c r="H33" s="121" t="s">
        <v>226</v>
      </c>
      <c r="I33" s="8"/>
      <c r="K33" s="60">
        <v>3.2726999999999999E-2</v>
      </c>
    </row>
    <row r="34" spans="3:13" x14ac:dyDescent="0.25">
      <c r="C34" s="1" t="s">
        <v>268</v>
      </c>
      <c r="D34" s="1">
        <f>L15</f>
        <v>214.23333333333338</v>
      </c>
      <c r="E34" s="1">
        <f>B15</f>
        <v>8.52</v>
      </c>
      <c r="F34" s="1">
        <f>D34/E34</f>
        <v>25.144757433489833</v>
      </c>
      <c r="G34" s="1"/>
      <c r="H34" s="1"/>
      <c r="K34" s="120">
        <v>0.03</v>
      </c>
      <c r="M34" t="s">
        <v>288</v>
      </c>
    </row>
    <row r="35" spans="3:13" x14ac:dyDescent="0.25">
      <c r="C35" s="1" t="s">
        <v>269</v>
      </c>
      <c r="D35" s="1">
        <f>L29</f>
        <v>138.62833333333336</v>
      </c>
      <c r="E35" s="1">
        <f>B29</f>
        <v>4.6900000000000004</v>
      </c>
      <c r="F35" s="1">
        <f>D35/E35</f>
        <v>29.558280028429284</v>
      </c>
      <c r="G35" s="1"/>
      <c r="H35" s="1"/>
      <c r="M35" t="s">
        <v>306</v>
      </c>
    </row>
    <row r="36" spans="3:13" x14ac:dyDescent="0.25">
      <c r="C36" s="1" t="s">
        <v>270</v>
      </c>
      <c r="D36" s="43">
        <f>F41-(D34+D35)</f>
        <v>176.42913297888578</v>
      </c>
      <c r="E36" s="1">
        <f>HEA_B!B63 -(E34+E35)</f>
        <v>14.620000000000001</v>
      </c>
      <c r="F36" s="1">
        <f>D36/E36</f>
        <v>12.067656154506549</v>
      </c>
      <c r="G36" s="1"/>
      <c r="H36" s="1"/>
      <c r="M36" t="s">
        <v>289</v>
      </c>
    </row>
    <row r="37" spans="3:13" x14ac:dyDescent="0.25">
      <c r="C37" s="1" t="s">
        <v>266</v>
      </c>
      <c r="D37" s="43"/>
      <c r="E37" s="1"/>
      <c r="F37" s="1"/>
      <c r="G37" s="1"/>
      <c r="H37" s="1"/>
    </row>
    <row r="38" spans="3:13" x14ac:dyDescent="0.25">
      <c r="C38" s="8"/>
      <c r="D38" s="8"/>
      <c r="E38" s="8"/>
      <c r="F38" s="8"/>
    </row>
    <row r="39" spans="3:13" x14ac:dyDescent="0.25">
      <c r="C39" s="123" t="s">
        <v>218</v>
      </c>
      <c r="D39" s="124" t="s">
        <v>220</v>
      </c>
      <c r="E39" s="125" t="s">
        <v>224</v>
      </c>
      <c r="F39" s="123"/>
    </row>
    <row r="40" spans="3:13" x14ac:dyDescent="0.25">
      <c r="C40" s="126" t="s">
        <v>219</v>
      </c>
      <c r="D40" s="121" t="s">
        <v>222</v>
      </c>
      <c r="E40" s="121" t="s">
        <v>223</v>
      </c>
      <c r="F40" s="126" t="s">
        <v>221</v>
      </c>
    </row>
    <row r="41" spans="3:13" x14ac:dyDescent="0.25">
      <c r="C41" s="43">
        <f>F41-(D41 + E41)</f>
        <v>176.42913297888578</v>
      </c>
      <c r="D41" s="1">
        <f>L15</f>
        <v>214.23333333333338</v>
      </c>
      <c r="E41" s="1">
        <f>L29</f>
        <v>138.62833333333336</v>
      </c>
      <c r="F41" s="43">
        <f>HEA_B!N63</f>
        <v>529.29079964555251</v>
      </c>
    </row>
    <row r="43" spans="3:13" x14ac:dyDescent="0.25">
      <c r="C43" t="s">
        <v>290</v>
      </c>
    </row>
    <row r="44" spans="3:13" x14ac:dyDescent="0.25">
      <c r="C44" t="s">
        <v>291</v>
      </c>
    </row>
    <row r="45" spans="3:13" x14ac:dyDescent="0.25">
      <c r="C45" t="s">
        <v>292</v>
      </c>
    </row>
    <row r="47" spans="3:13" x14ac:dyDescent="0.25">
      <c r="D47" t="s">
        <v>271</v>
      </c>
    </row>
    <row r="49" spans="3:22" x14ac:dyDescent="0.25">
      <c r="D49" s="121" t="s">
        <v>228</v>
      </c>
      <c r="E49" s="121" t="s">
        <v>233</v>
      </c>
      <c r="F49" s="121" t="s">
        <v>229</v>
      </c>
      <c r="G49" s="121" t="s">
        <v>230</v>
      </c>
      <c r="H49" s="121" t="s">
        <v>231</v>
      </c>
      <c r="I49" s="121" t="s">
        <v>232</v>
      </c>
      <c r="J49" s="121" t="s">
        <v>234</v>
      </c>
      <c r="K49" s="121" t="s">
        <v>275</v>
      </c>
      <c r="L49" s="121" t="s">
        <v>235</v>
      </c>
      <c r="M49" s="121" t="s">
        <v>5</v>
      </c>
      <c r="N49" s="121" t="s">
        <v>236</v>
      </c>
      <c r="O49" s="121" t="s">
        <v>280</v>
      </c>
      <c r="P49" s="121" t="s">
        <v>281</v>
      </c>
      <c r="Q49" s="121" t="s">
        <v>282</v>
      </c>
      <c r="R49" s="121" t="s">
        <v>237</v>
      </c>
      <c r="S49" s="121" t="s">
        <v>238</v>
      </c>
      <c r="T49" s="121" t="s">
        <v>239</v>
      </c>
      <c r="U49" s="124" t="s">
        <v>240</v>
      </c>
      <c r="V49" s="12"/>
    </row>
    <row r="50" spans="3:22" x14ac:dyDescent="0.25">
      <c r="D50" s="1">
        <v>106944</v>
      </c>
      <c r="E50" s="1" t="s">
        <v>246</v>
      </c>
      <c r="F50" s="1" t="s">
        <v>241</v>
      </c>
      <c r="G50" s="130">
        <v>43580</v>
      </c>
      <c r="H50" s="1"/>
      <c r="I50" s="1"/>
      <c r="J50" s="1"/>
      <c r="K50" s="1" t="s">
        <v>247</v>
      </c>
      <c r="L50" s="1">
        <v>502.51</v>
      </c>
      <c r="M50" s="1"/>
      <c r="N50" s="1">
        <v>0</v>
      </c>
      <c r="O50" s="1"/>
      <c r="P50" s="1"/>
      <c r="Q50" s="1"/>
      <c r="R50" s="1"/>
      <c r="T50" s="1"/>
      <c r="U50" s="122"/>
      <c r="V50" s="12"/>
    </row>
    <row r="51" spans="3:22" x14ac:dyDescent="0.25">
      <c r="D51" s="1">
        <v>106945</v>
      </c>
      <c r="E51" s="1" t="s">
        <v>249</v>
      </c>
      <c r="F51" s="1" t="s">
        <v>241</v>
      </c>
      <c r="G51" s="130">
        <v>43586</v>
      </c>
      <c r="H51" s="1"/>
      <c r="I51" s="1"/>
      <c r="J51" s="1"/>
      <c r="K51" s="1" t="s">
        <v>247</v>
      </c>
      <c r="L51" s="1">
        <v>76.62</v>
      </c>
      <c r="M51" s="1"/>
      <c r="N51" s="1">
        <v>0</v>
      </c>
      <c r="O51" s="1"/>
      <c r="P51" s="1"/>
      <c r="Q51" s="1"/>
      <c r="R51" s="1"/>
      <c r="S51" s="1" t="s">
        <v>248</v>
      </c>
      <c r="T51" s="1"/>
      <c r="U51" s="122"/>
      <c r="V51" s="12"/>
    </row>
    <row r="52" spans="3:22" x14ac:dyDescent="0.25">
      <c r="D52" s="28">
        <v>106947</v>
      </c>
      <c r="E52" s="1" t="s">
        <v>250</v>
      </c>
      <c r="F52" s="1" t="s">
        <v>241</v>
      </c>
      <c r="G52" s="130">
        <v>43587</v>
      </c>
      <c r="H52" s="1" t="s">
        <v>251</v>
      </c>
      <c r="I52" s="1"/>
      <c r="J52" s="1"/>
      <c r="K52" s="1" t="s">
        <v>247</v>
      </c>
      <c r="L52" s="1">
        <v>-76.62</v>
      </c>
      <c r="M52" s="132">
        <f>L52/I72</f>
        <v>-7.523065144392211</v>
      </c>
      <c r="N52" s="1">
        <v>0</v>
      </c>
      <c r="O52" s="1"/>
      <c r="P52" s="1"/>
      <c r="Q52" s="1"/>
      <c r="R52" s="1"/>
      <c r="S52" s="1" t="s">
        <v>248</v>
      </c>
      <c r="T52" s="1"/>
      <c r="U52" s="122"/>
      <c r="V52" s="12"/>
    </row>
    <row r="53" spans="3:22" x14ac:dyDescent="0.25">
      <c r="C53" s="8"/>
      <c r="D53" s="28">
        <v>106955</v>
      </c>
      <c r="E53" s="1" t="s">
        <v>249</v>
      </c>
      <c r="F53" s="1" t="s">
        <v>241</v>
      </c>
      <c r="G53" s="130">
        <v>44063</v>
      </c>
      <c r="H53" s="1"/>
      <c r="I53" s="1"/>
      <c r="J53" s="1"/>
      <c r="K53" s="1" t="s">
        <v>247</v>
      </c>
      <c r="L53" s="1">
        <v>42.22</v>
      </c>
      <c r="M53" s="1"/>
      <c r="N53" s="1">
        <v>0</v>
      </c>
      <c r="O53" s="1"/>
      <c r="P53" s="1"/>
      <c r="Q53" s="1"/>
      <c r="R53" s="1"/>
      <c r="S53" s="1" t="s">
        <v>252</v>
      </c>
      <c r="T53" s="1"/>
      <c r="U53" s="1"/>
      <c r="V53" s="8"/>
    </row>
    <row r="54" spans="3:22" x14ac:dyDescent="0.25">
      <c r="C54" s="8"/>
      <c r="D54" s="28">
        <v>106948</v>
      </c>
      <c r="E54" s="1" t="s">
        <v>249</v>
      </c>
      <c r="F54" s="1" t="s">
        <v>241</v>
      </c>
      <c r="G54" s="130">
        <v>44063</v>
      </c>
      <c r="H54" s="1"/>
      <c r="I54" s="1"/>
      <c r="J54" s="1"/>
      <c r="K54" s="1" t="s">
        <v>247</v>
      </c>
      <c r="L54" s="1">
        <v>79.48</v>
      </c>
      <c r="M54" s="1"/>
      <c r="N54" s="1">
        <v>0</v>
      </c>
      <c r="O54" s="1"/>
      <c r="P54" s="1"/>
      <c r="Q54" s="1"/>
      <c r="R54" s="1"/>
      <c r="S54" s="1" t="s">
        <v>253</v>
      </c>
      <c r="T54" s="1"/>
      <c r="U54" s="1"/>
      <c r="V54" s="8"/>
    </row>
    <row r="55" spans="3:22" x14ac:dyDescent="0.25">
      <c r="C55" s="8"/>
      <c r="D55" s="28">
        <v>106956</v>
      </c>
      <c r="E55" s="1" t="s">
        <v>249</v>
      </c>
      <c r="F55" s="1" t="s">
        <v>241</v>
      </c>
      <c r="G55" s="130">
        <v>44063</v>
      </c>
      <c r="H55" s="1"/>
      <c r="I55" s="1"/>
      <c r="J55" s="1"/>
      <c r="K55" s="1" t="s">
        <v>247</v>
      </c>
      <c r="L55" s="1">
        <v>42.21</v>
      </c>
      <c r="M55" s="1"/>
      <c r="N55" s="1">
        <v>0</v>
      </c>
      <c r="O55" s="1"/>
      <c r="P55" s="1"/>
      <c r="Q55" s="1"/>
      <c r="R55" s="1"/>
      <c r="S55" s="1" t="s">
        <v>254</v>
      </c>
      <c r="T55" s="1"/>
      <c r="U55" s="1"/>
      <c r="V55" s="8"/>
    </row>
    <row r="56" spans="3:22" x14ac:dyDescent="0.25">
      <c r="C56" s="8"/>
      <c r="D56" s="28">
        <v>106949</v>
      </c>
      <c r="E56" s="1" t="s">
        <v>250</v>
      </c>
      <c r="F56" s="1" t="s">
        <v>241</v>
      </c>
      <c r="G56" s="130">
        <v>44070</v>
      </c>
      <c r="H56" s="1" t="s">
        <v>251</v>
      </c>
      <c r="I56" s="1"/>
      <c r="J56" s="1"/>
      <c r="K56" s="1" t="s">
        <v>247</v>
      </c>
      <c r="L56" s="1">
        <v>-22.38</v>
      </c>
      <c r="M56" s="133">
        <f>L56/I71</f>
        <v>-0.76336145454545457</v>
      </c>
      <c r="N56" s="1">
        <v>0</v>
      </c>
      <c r="O56" s="1"/>
      <c r="P56" s="1"/>
      <c r="Q56" s="1"/>
      <c r="R56" s="1"/>
      <c r="S56" s="1" t="s">
        <v>255</v>
      </c>
      <c r="T56" s="1"/>
      <c r="U56" s="1"/>
      <c r="V56" s="8"/>
    </row>
    <row r="57" spans="3:22" x14ac:dyDescent="0.25">
      <c r="C57" s="8"/>
      <c r="D57" s="28">
        <v>106950</v>
      </c>
      <c r="E57" s="1" t="s">
        <v>250</v>
      </c>
      <c r="F57" s="1" t="s">
        <v>241</v>
      </c>
      <c r="G57" s="130">
        <v>44112</v>
      </c>
      <c r="H57" s="1" t="s">
        <v>251</v>
      </c>
      <c r="I57" s="1"/>
      <c r="J57" s="1"/>
      <c r="K57" s="1" t="s">
        <v>247</v>
      </c>
      <c r="L57" s="1">
        <v>-0.75</v>
      </c>
      <c r="M57" s="1"/>
      <c r="N57" s="1">
        <v>0</v>
      </c>
      <c r="O57" s="1"/>
      <c r="P57" s="1"/>
      <c r="Q57" s="1"/>
      <c r="R57" s="1"/>
      <c r="S57" s="1" t="s">
        <v>256</v>
      </c>
      <c r="T57" s="1"/>
      <c r="U57" s="1"/>
      <c r="V57" s="8"/>
    </row>
    <row r="58" spans="3:22" x14ac:dyDescent="0.25">
      <c r="C58" s="8"/>
      <c r="D58" s="28">
        <v>106957</v>
      </c>
      <c r="E58" s="1" t="s">
        <v>249</v>
      </c>
      <c r="F58" s="1" t="s">
        <v>241</v>
      </c>
      <c r="G58" s="130">
        <v>44137</v>
      </c>
      <c r="H58" s="1"/>
      <c r="I58" s="1"/>
      <c r="J58" s="1"/>
      <c r="K58" s="1" t="s">
        <v>247</v>
      </c>
      <c r="L58" s="1">
        <v>10.14</v>
      </c>
      <c r="M58" s="1"/>
      <c r="N58" s="1">
        <v>0</v>
      </c>
      <c r="O58" s="1"/>
      <c r="P58" s="1"/>
      <c r="Q58" s="1"/>
      <c r="R58" s="1"/>
      <c r="S58" s="1" t="s">
        <v>257</v>
      </c>
      <c r="T58" s="1"/>
      <c r="U58" s="1"/>
      <c r="V58" s="8"/>
    </row>
    <row r="59" spans="3:22" x14ac:dyDescent="0.25">
      <c r="C59" s="8"/>
      <c r="D59" s="28">
        <v>106958</v>
      </c>
      <c r="E59" s="1" t="s">
        <v>249</v>
      </c>
      <c r="F59" s="1" t="s">
        <v>241</v>
      </c>
      <c r="G59" s="130">
        <v>44137</v>
      </c>
      <c r="H59" s="1"/>
      <c r="I59" s="1"/>
      <c r="J59" s="1"/>
      <c r="K59" s="1" t="s">
        <v>247</v>
      </c>
      <c r="L59" s="1">
        <v>10.119999999999999</v>
      </c>
      <c r="M59" s="1"/>
      <c r="N59" s="1">
        <v>0</v>
      </c>
      <c r="O59" s="1"/>
      <c r="P59" s="1"/>
      <c r="Q59" s="1"/>
      <c r="R59" s="1"/>
      <c r="S59" s="1" t="s">
        <v>258</v>
      </c>
      <c r="T59" s="1"/>
      <c r="U59" s="1"/>
      <c r="V59" s="8"/>
    </row>
    <row r="60" spans="3:22" x14ac:dyDescent="0.25">
      <c r="C60" s="8"/>
      <c r="D60" s="28">
        <v>107354</v>
      </c>
      <c r="E60" s="1" t="s">
        <v>249</v>
      </c>
      <c r="F60" s="1" t="s">
        <v>241</v>
      </c>
      <c r="G60" s="130">
        <v>44137</v>
      </c>
      <c r="H60" s="1"/>
      <c r="I60" s="1"/>
      <c r="J60" s="1"/>
      <c r="K60" s="1" t="s">
        <v>247</v>
      </c>
      <c r="L60" s="35">
        <v>-8.2899999999999991</v>
      </c>
      <c r="M60" s="134">
        <f>L60/I70</f>
        <v>-0.32684312818139749</v>
      </c>
      <c r="N60" s="1">
        <v>0</v>
      </c>
      <c r="O60" s="1"/>
      <c r="P60" s="1"/>
      <c r="Q60" s="1"/>
      <c r="R60" s="1"/>
      <c r="S60" s="1" t="s">
        <v>259</v>
      </c>
      <c r="T60" s="1"/>
      <c r="U60" s="1"/>
      <c r="V60" s="8"/>
    </row>
    <row r="61" spans="3:22" x14ac:dyDescent="0.25">
      <c r="C61" s="8"/>
      <c r="D61" s="28">
        <v>106951</v>
      </c>
      <c r="E61" s="1" t="s">
        <v>250</v>
      </c>
      <c r="F61" s="1" t="s">
        <v>241</v>
      </c>
      <c r="G61" s="130">
        <v>44294</v>
      </c>
      <c r="H61" s="1" t="s">
        <v>251</v>
      </c>
      <c r="I61" s="1"/>
      <c r="J61" s="1"/>
      <c r="K61" s="1" t="s">
        <v>247</v>
      </c>
      <c r="L61" s="1">
        <v>-0.6</v>
      </c>
      <c r="M61" s="1"/>
      <c r="N61" s="1">
        <v>0</v>
      </c>
      <c r="O61" s="1"/>
      <c r="P61" s="1"/>
      <c r="Q61" s="1"/>
      <c r="R61" s="1"/>
      <c r="S61" s="1" t="s">
        <v>260</v>
      </c>
      <c r="T61" s="1"/>
      <c r="U61" s="1"/>
      <c r="V61" s="8"/>
    </row>
    <row r="62" spans="3:22" x14ac:dyDescent="0.25">
      <c r="C62" s="8"/>
      <c r="D62" s="28"/>
      <c r="E62" s="1"/>
      <c r="F62" s="1"/>
      <c r="G62" s="1"/>
      <c r="H62" s="1"/>
      <c r="I62" s="1"/>
      <c r="J62" s="1"/>
      <c r="K62" s="1"/>
      <c r="L62" s="1"/>
      <c r="M62" s="1"/>
      <c r="N62" s="1"/>
      <c r="O62" s="1"/>
      <c r="P62" s="1"/>
      <c r="Q62" s="1"/>
      <c r="R62" s="1"/>
      <c r="S62" s="1"/>
      <c r="T62" s="1"/>
      <c r="U62" s="1"/>
      <c r="V62" s="8"/>
    </row>
    <row r="63" spans="3:22" x14ac:dyDescent="0.25">
      <c r="C63" s="8"/>
      <c r="D63" s="28"/>
      <c r="E63" s="1"/>
      <c r="F63" s="1"/>
      <c r="G63" s="1"/>
      <c r="H63" s="1"/>
      <c r="I63" s="1"/>
      <c r="J63" s="1"/>
      <c r="K63" s="1"/>
      <c r="L63" s="1"/>
      <c r="M63" s="1"/>
      <c r="N63" s="1"/>
      <c r="O63" s="1"/>
      <c r="P63" s="1"/>
      <c r="Q63" s="1"/>
      <c r="R63" s="1"/>
      <c r="S63" s="1"/>
      <c r="T63" s="1"/>
      <c r="U63" s="1"/>
      <c r="V63" s="8"/>
    </row>
    <row r="64" spans="3:22" x14ac:dyDescent="0.25">
      <c r="C64" s="8"/>
      <c r="D64" s="28"/>
      <c r="E64" s="1"/>
      <c r="F64" s="1"/>
      <c r="G64" s="1"/>
      <c r="H64" s="1"/>
      <c r="I64" s="1"/>
      <c r="J64" s="1"/>
      <c r="K64" s="1"/>
      <c r="L64" s="1"/>
      <c r="M64" s="1"/>
      <c r="N64" s="1"/>
      <c r="O64" s="1"/>
      <c r="P64" s="1"/>
      <c r="Q64" s="1"/>
      <c r="R64" s="1"/>
      <c r="S64" s="1"/>
      <c r="T64" s="1"/>
      <c r="U64" s="1"/>
      <c r="V64" s="8"/>
    </row>
    <row r="65" spans="2:22" x14ac:dyDescent="0.25">
      <c r="C65" s="8"/>
      <c r="D65" s="28"/>
      <c r="E65" s="1"/>
      <c r="F65" s="1"/>
      <c r="G65" s="1"/>
      <c r="H65" s="1"/>
      <c r="I65" s="1"/>
      <c r="J65" s="1"/>
      <c r="K65" s="1"/>
      <c r="L65" s="1"/>
      <c r="M65" s="1"/>
      <c r="N65" s="1"/>
      <c r="O65" s="1"/>
      <c r="P65" s="1"/>
      <c r="Q65" s="1"/>
      <c r="R65" s="1"/>
      <c r="S65" s="1"/>
      <c r="T65" s="1"/>
      <c r="U65" s="1"/>
      <c r="V65" s="8"/>
    </row>
    <row r="66" spans="2:22" x14ac:dyDescent="0.25">
      <c r="C66" s="8"/>
      <c r="D66" s="28"/>
      <c r="E66" s="1"/>
      <c r="F66" s="1"/>
      <c r="G66" s="1"/>
      <c r="H66" s="1"/>
      <c r="I66" s="1"/>
      <c r="J66" s="1"/>
      <c r="K66" s="1"/>
      <c r="L66" s="1"/>
      <c r="M66" s="1"/>
      <c r="N66" s="1"/>
      <c r="O66" s="1"/>
      <c r="P66" s="1"/>
      <c r="Q66" s="1"/>
      <c r="R66" s="1"/>
      <c r="S66" s="1"/>
      <c r="T66" s="1"/>
      <c r="U66" s="1"/>
      <c r="V66" s="8"/>
    </row>
    <row r="67" spans="2:22" x14ac:dyDescent="0.25">
      <c r="C67" s="8"/>
      <c r="D67" s="129"/>
      <c r="E67" s="8"/>
      <c r="F67" s="8"/>
      <c r="G67" s="8"/>
      <c r="H67" s="8"/>
      <c r="I67" s="8"/>
      <c r="J67" s="8"/>
      <c r="K67" s="8"/>
      <c r="L67" s="8"/>
      <c r="M67" s="8"/>
      <c r="N67" s="8"/>
      <c r="O67" s="8"/>
      <c r="P67" s="8"/>
      <c r="Q67" s="8"/>
      <c r="R67" s="8"/>
      <c r="S67" s="8"/>
      <c r="T67" s="8"/>
      <c r="U67" s="8"/>
      <c r="V67" s="8"/>
    </row>
    <row r="69" spans="2:22" x14ac:dyDescent="0.25">
      <c r="C69" s="123" t="s">
        <v>218</v>
      </c>
      <c r="D69" s="124" t="s">
        <v>220</v>
      </c>
      <c r="E69" s="125" t="s">
        <v>224</v>
      </c>
      <c r="F69" s="123"/>
      <c r="G69" s="123" t="s">
        <v>263</v>
      </c>
      <c r="I69" s="121" t="s">
        <v>273</v>
      </c>
    </row>
    <row r="70" spans="2:22" x14ac:dyDescent="0.25">
      <c r="C70" s="131" t="s">
        <v>219</v>
      </c>
      <c r="D70" s="123" t="s">
        <v>222</v>
      </c>
      <c r="E70" s="123" t="s">
        <v>223</v>
      </c>
      <c r="F70" s="131" t="s">
        <v>221</v>
      </c>
      <c r="G70" s="126" t="s">
        <v>264</v>
      </c>
      <c r="I70" s="43">
        <f>D71/E34</f>
        <v>25.363849765258216</v>
      </c>
      <c r="J70" s="134" t="s">
        <v>2</v>
      </c>
    </row>
    <row r="71" spans="2:22" x14ac:dyDescent="0.25">
      <c r="B71" s="1" t="s">
        <v>261</v>
      </c>
      <c r="C71" s="43">
        <v>148.9</v>
      </c>
      <c r="D71" s="1">
        <v>216.1</v>
      </c>
      <c r="E71" s="1">
        <v>137.5</v>
      </c>
      <c r="F71" s="43">
        <v>502.51</v>
      </c>
      <c r="G71" s="1"/>
      <c r="I71" s="43">
        <f>E71/E35</f>
        <v>29.317697228144986</v>
      </c>
      <c r="J71" s="133" t="s">
        <v>12</v>
      </c>
    </row>
    <row r="72" spans="2:22" x14ac:dyDescent="0.25">
      <c r="B72" s="1" t="s">
        <v>262</v>
      </c>
      <c r="C72" s="43">
        <f>C71+L52</f>
        <v>72.28</v>
      </c>
      <c r="D72" s="1">
        <f>D71+L60</f>
        <v>207.81</v>
      </c>
      <c r="E72" s="1">
        <f>E71+L56</f>
        <v>115.12</v>
      </c>
      <c r="F72" s="135">
        <f>L51+L53+L54+L55+L58+L59+L60</f>
        <v>252.50000000000003</v>
      </c>
      <c r="G72" s="136">
        <v>-100.35</v>
      </c>
      <c r="I72" s="43">
        <f>C71/E36</f>
        <v>10.184678522571819</v>
      </c>
      <c r="J72" s="120" t="s">
        <v>265</v>
      </c>
      <c r="L72" s="137" t="s">
        <v>305</v>
      </c>
      <c r="M72" s="137"/>
      <c r="N72" s="137"/>
    </row>
    <row r="73" spans="2:22" x14ac:dyDescent="0.25">
      <c r="C73" s="129"/>
      <c r="D73" s="8"/>
      <c r="E73" s="8"/>
      <c r="F73" s="43"/>
      <c r="G73" s="43">
        <f>F71 + G72</f>
        <v>402.15999999999997</v>
      </c>
    </row>
    <row r="74" spans="2:22" x14ac:dyDescent="0.25">
      <c r="C74" s="129"/>
      <c r="D74" s="8"/>
      <c r="E74" s="8"/>
      <c r="F74" s="129"/>
    </row>
    <row r="76" spans="2:22" x14ac:dyDescent="0.25">
      <c r="C76" s="121" t="s">
        <v>275</v>
      </c>
      <c r="D76" s="121" t="s">
        <v>229</v>
      </c>
      <c r="E76" s="121" t="s">
        <v>233</v>
      </c>
      <c r="G76" s="18" t="s">
        <v>279</v>
      </c>
    </row>
    <row r="77" spans="2:22" x14ac:dyDescent="0.25">
      <c r="C77" s="1" t="s">
        <v>268</v>
      </c>
      <c r="D77" s="1" t="s">
        <v>241</v>
      </c>
      <c r="E77" s="1" t="s">
        <v>243</v>
      </c>
      <c r="G77" t="s">
        <v>303</v>
      </c>
    </row>
    <row r="78" spans="2:22" x14ac:dyDescent="0.25">
      <c r="C78" s="1" t="s">
        <v>269</v>
      </c>
      <c r="D78" s="1" t="s">
        <v>242</v>
      </c>
      <c r="E78" s="1" t="s">
        <v>244</v>
      </c>
      <c r="G78" t="s">
        <v>274</v>
      </c>
    </row>
    <row r="79" spans="2:22" x14ac:dyDescent="0.25">
      <c r="C79" s="1" t="s">
        <v>272</v>
      </c>
      <c r="D79" s="1"/>
      <c r="E79" s="1" t="s">
        <v>245</v>
      </c>
    </row>
    <row r="80" spans="2:22" x14ac:dyDescent="0.25">
      <c r="C80" s="1" t="s">
        <v>293</v>
      </c>
      <c r="G80" t="s">
        <v>276</v>
      </c>
    </row>
    <row r="81" spans="7:7" x14ac:dyDescent="0.25">
      <c r="G81" t="s">
        <v>277</v>
      </c>
    </row>
    <row r="84" spans="7:7" x14ac:dyDescent="0.25">
      <c r="G84" t="s">
        <v>287</v>
      </c>
    </row>
    <row r="85" spans="7:7" x14ac:dyDescent="0.25">
      <c r="G85" t="s">
        <v>278</v>
      </c>
    </row>
    <row r="87" spans="7:7" x14ac:dyDescent="0.25">
      <c r="G87" t="s">
        <v>283</v>
      </c>
    </row>
    <row r="88" spans="7:7" x14ac:dyDescent="0.25">
      <c r="G88" t="s">
        <v>284</v>
      </c>
    </row>
    <row r="91" spans="7:7" x14ac:dyDescent="0.25">
      <c r="G91" t="s">
        <v>302</v>
      </c>
    </row>
    <row r="94" spans="7:7" x14ac:dyDescent="0.25">
      <c r="G94" t="s">
        <v>285</v>
      </c>
    </row>
    <row r="95" spans="7:7" x14ac:dyDescent="0.25">
      <c r="G95" t="s">
        <v>301</v>
      </c>
    </row>
    <row r="96" spans="7:7" x14ac:dyDescent="0.25">
      <c r="G96" t="s">
        <v>286</v>
      </c>
    </row>
    <row r="99" spans="7:7" x14ac:dyDescent="0.25">
      <c r="G99" t="s">
        <v>296</v>
      </c>
    </row>
    <row r="100" spans="7:7" x14ac:dyDescent="0.25">
      <c r="G100" t="s">
        <v>294</v>
      </c>
    </row>
    <row r="103" spans="7:7" x14ac:dyDescent="0.25">
      <c r="G103" t="s">
        <v>298</v>
      </c>
    </row>
    <row r="105" spans="7:7" x14ac:dyDescent="0.25">
      <c r="G105" t="s">
        <v>297</v>
      </c>
    </row>
    <row r="107" spans="7:7" x14ac:dyDescent="0.25">
      <c r="G107" t="s">
        <v>295</v>
      </c>
    </row>
    <row r="109" spans="7:7" x14ac:dyDescent="0.25">
      <c r="G109" t="s">
        <v>304</v>
      </c>
    </row>
    <row r="110" spans="7:7" x14ac:dyDescent="0.25">
      <c r="G110" t="s">
        <v>299</v>
      </c>
    </row>
    <row r="112" spans="7:7" x14ac:dyDescent="0.25">
      <c r="G112" t="s">
        <v>300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3C56-F32F-464A-A52C-CA4B11F757CB}">
  <dimension ref="A8:L52"/>
  <sheetViews>
    <sheetView tabSelected="1" topLeftCell="A4" workbookViewId="0">
      <selection activeCell="G8" sqref="G8:K23"/>
    </sheetView>
  </sheetViews>
  <sheetFormatPr defaultRowHeight="15" x14ac:dyDescent="0.25"/>
  <cols>
    <col min="1" max="1" width="19.28515625" customWidth="1"/>
    <col min="2" max="3" width="20.85546875" customWidth="1"/>
    <col min="4" max="4" width="23" customWidth="1"/>
    <col min="5" max="6" width="29" customWidth="1"/>
    <col min="7" max="7" width="32.85546875" customWidth="1"/>
    <col min="8" max="8" width="20.42578125" customWidth="1"/>
    <col min="9" max="9" width="14.85546875" customWidth="1"/>
    <col min="10" max="10" width="33" customWidth="1"/>
    <col min="11" max="11" width="21.42578125" customWidth="1"/>
    <col min="12" max="12" width="25.5703125" customWidth="1"/>
    <col min="13" max="13" width="23.42578125" customWidth="1"/>
  </cols>
  <sheetData>
    <row r="8" spans="1:12" x14ac:dyDescent="0.25">
      <c r="A8" s="123" t="s">
        <v>228</v>
      </c>
      <c r="B8" s="138" t="s">
        <v>315</v>
      </c>
      <c r="C8" s="141" t="s">
        <v>315</v>
      </c>
      <c r="D8" s="141" t="s">
        <v>316</v>
      </c>
      <c r="E8" s="123"/>
      <c r="G8" s="121" t="s">
        <v>317</v>
      </c>
      <c r="H8" s="121" t="s">
        <v>189</v>
      </c>
      <c r="I8" s="121" t="s">
        <v>5</v>
      </c>
      <c r="J8" s="121" t="s">
        <v>318</v>
      </c>
      <c r="K8" s="18"/>
      <c r="L8" s="18"/>
    </row>
    <row r="9" spans="1:12" x14ac:dyDescent="0.25">
      <c r="A9" s="126"/>
      <c r="B9" s="139" t="s">
        <v>312</v>
      </c>
      <c r="C9" s="142" t="s">
        <v>314</v>
      </c>
      <c r="D9" s="142" t="s">
        <v>308</v>
      </c>
      <c r="E9" s="126" t="s">
        <v>311</v>
      </c>
      <c r="G9" s="120" t="s">
        <v>268</v>
      </c>
      <c r="H9" s="120">
        <v>224.39</v>
      </c>
      <c r="I9" s="1">
        <f>(H9/H31)*I31</f>
        <v>12.427163041531511</v>
      </c>
      <c r="J9" s="1">
        <f>H9/I9</f>
        <v>18.056413941789437</v>
      </c>
      <c r="K9" s="8"/>
      <c r="L9" s="8"/>
    </row>
    <row r="10" spans="1:12" x14ac:dyDescent="0.25">
      <c r="A10" s="11">
        <v>106944</v>
      </c>
      <c r="B10" s="43">
        <f>H13</f>
        <v>502.51</v>
      </c>
      <c r="C10" s="1">
        <v>0</v>
      </c>
      <c r="D10" s="1">
        <v>0</v>
      </c>
      <c r="E10" s="130">
        <v>43580</v>
      </c>
      <c r="G10" s="1" t="s">
        <v>269</v>
      </c>
      <c r="H10" s="1">
        <v>137.5</v>
      </c>
      <c r="I10" s="1">
        <f>(H10/H31)*I31</f>
        <v>7.6150225866151917</v>
      </c>
      <c r="J10" s="1">
        <f>H10/I10</f>
        <v>18.056413941789437</v>
      </c>
      <c r="K10" s="8"/>
      <c r="L10" s="8"/>
    </row>
    <row r="11" spans="1:12" x14ac:dyDescent="0.25">
      <c r="A11" s="1">
        <v>106945</v>
      </c>
      <c r="B11" s="1"/>
      <c r="C11" s="1">
        <v>76.62</v>
      </c>
      <c r="D11" s="1"/>
      <c r="E11" s="130">
        <v>43586</v>
      </c>
      <c r="G11" s="120" t="s">
        <v>270</v>
      </c>
      <c r="H11" s="158">
        <v>140.62</v>
      </c>
      <c r="I11" s="1">
        <f>(H11/H31)*I31</f>
        <v>7.7878143718532966</v>
      </c>
      <c r="J11" s="1">
        <f>H11/I11</f>
        <v>18.056413941789437</v>
      </c>
      <c r="K11" s="8"/>
      <c r="L11" s="8"/>
    </row>
    <row r="12" spans="1:12" x14ac:dyDescent="0.25">
      <c r="A12" s="28">
        <v>106947</v>
      </c>
      <c r="B12" s="1"/>
      <c r="D12" s="1">
        <v>-76.62</v>
      </c>
      <c r="E12" s="130">
        <v>43587</v>
      </c>
      <c r="G12" s="1" t="s">
        <v>266</v>
      </c>
      <c r="H12" s="43">
        <v>0</v>
      </c>
      <c r="I12" s="1">
        <f>(H12/H32)*I32</f>
        <v>0</v>
      </c>
      <c r="J12" s="1">
        <v>18.056413939999999</v>
      </c>
      <c r="K12" s="8"/>
      <c r="L12" s="8"/>
    </row>
    <row r="13" spans="1:12" x14ac:dyDescent="0.25">
      <c r="A13" s="28">
        <v>106955</v>
      </c>
      <c r="B13" s="1"/>
      <c r="C13" s="1">
        <v>42.22</v>
      </c>
      <c r="D13" s="1"/>
      <c r="E13" s="130">
        <v>44063</v>
      </c>
      <c r="G13" s="29" t="s">
        <v>221</v>
      </c>
      <c r="H13" s="43">
        <f>SUM(H9:H12)</f>
        <v>502.51</v>
      </c>
      <c r="I13" s="1">
        <f>SUM(I9:I12)</f>
        <v>27.830000000000002</v>
      </c>
      <c r="J13" s="1"/>
      <c r="K13" s="8"/>
      <c r="L13" s="8"/>
    </row>
    <row r="14" spans="1:12" x14ac:dyDescent="0.25">
      <c r="A14" s="28">
        <v>106948</v>
      </c>
      <c r="B14" s="1"/>
      <c r="C14" s="1">
        <v>79.48</v>
      </c>
      <c r="D14" s="1"/>
      <c r="E14" s="130">
        <v>44063</v>
      </c>
      <c r="G14" s="18"/>
      <c r="H14" s="129"/>
      <c r="I14" s="8"/>
      <c r="J14" s="8"/>
      <c r="K14" s="8"/>
      <c r="L14" s="8"/>
    </row>
    <row r="15" spans="1:12" x14ac:dyDescent="0.25">
      <c r="A15" s="28">
        <v>106956</v>
      </c>
      <c r="B15" s="1"/>
      <c r="C15" s="1">
        <v>42.21</v>
      </c>
      <c r="D15" s="1"/>
      <c r="E15" s="130">
        <v>44063</v>
      </c>
      <c r="G15" s="18"/>
      <c r="H15" s="129"/>
      <c r="I15" s="8"/>
      <c r="J15" s="8"/>
      <c r="K15" s="8"/>
      <c r="L15" s="8"/>
    </row>
    <row r="16" spans="1:12" x14ac:dyDescent="0.25">
      <c r="A16" s="28">
        <v>106949</v>
      </c>
      <c r="B16" s="1"/>
      <c r="C16" s="1"/>
      <c r="D16" s="1">
        <v>-22.38</v>
      </c>
      <c r="E16" s="130">
        <v>44070</v>
      </c>
      <c r="G16" s="18"/>
      <c r="H16" s="129"/>
      <c r="I16" s="8"/>
      <c r="J16" s="8"/>
      <c r="K16" s="8"/>
      <c r="L16" s="8"/>
    </row>
    <row r="17" spans="1:12" x14ac:dyDescent="0.25">
      <c r="A17" s="28">
        <v>106950</v>
      </c>
      <c r="B17" s="1"/>
      <c r="C17" s="1"/>
      <c r="D17" s="1">
        <v>-0.75</v>
      </c>
      <c r="E17" s="130">
        <v>44112</v>
      </c>
      <c r="G17" s="18"/>
      <c r="H17" s="129"/>
      <c r="I17" s="8"/>
      <c r="J17" s="8"/>
      <c r="K17" s="8"/>
      <c r="L17" s="8"/>
    </row>
    <row r="18" spans="1:12" ht="15.75" x14ac:dyDescent="0.25">
      <c r="A18" s="28">
        <v>106957</v>
      </c>
      <c r="B18" s="1"/>
      <c r="C18" s="1">
        <v>10.14</v>
      </c>
      <c r="D18" s="1"/>
      <c r="E18" s="130">
        <v>44137</v>
      </c>
      <c r="G18" s="150" t="s">
        <v>307</v>
      </c>
      <c r="H18" s="151"/>
      <c r="I18" s="152"/>
      <c r="J18" s="152"/>
      <c r="K18" s="8"/>
      <c r="L18" s="8"/>
    </row>
    <row r="19" spans="1:12" x14ac:dyDescent="0.25">
      <c r="A19" s="28">
        <v>106958</v>
      </c>
      <c r="B19" s="1"/>
      <c r="C19" s="1">
        <v>10.119999999999999</v>
      </c>
      <c r="D19" s="1"/>
      <c r="E19" s="130">
        <v>44137</v>
      </c>
      <c r="G19" s="18"/>
      <c r="H19" s="129"/>
      <c r="I19" s="8"/>
      <c r="J19" s="8"/>
      <c r="K19" s="8"/>
      <c r="L19" s="8"/>
    </row>
    <row r="20" spans="1:12" x14ac:dyDescent="0.25">
      <c r="A20" s="149">
        <v>107354</v>
      </c>
      <c r="B20" s="1"/>
      <c r="C20" s="120">
        <v>-8.2899999999999991</v>
      </c>
      <c r="D20" s="29"/>
      <c r="E20" s="130">
        <v>44137</v>
      </c>
      <c r="G20" s="18"/>
      <c r="H20" s="129"/>
      <c r="I20" s="8"/>
      <c r="J20" s="8"/>
      <c r="K20" s="8"/>
      <c r="L20" s="8"/>
    </row>
    <row r="21" spans="1:12" x14ac:dyDescent="0.25">
      <c r="A21" s="28">
        <v>106951</v>
      </c>
      <c r="B21" s="1"/>
      <c r="C21" s="1"/>
      <c r="D21" s="1">
        <v>-0.6</v>
      </c>
      <c r="E21" s="130">
        <v>44294</v>
      </c>
      <c r="G21" s="154"/>
      <c r="H21" s="157" t="s">
        <v>322</v>
      </c>
      <c r="I21" s="8"/>
      <c r="J21" s="120" t="s">
        <v>268</v>
      </c>
      <c r="K21" s="120" t="s">
        <v>321</v>
      </c>
      <c r="L21" s="8"/>
    </row>
    <row r="22" spans="1:12" x14ac:dyDescent="0.25">
      <c r="A22" s="28"/>
      <c r="B22" s="1"/>
      <c r="C22" s="1"/>
      <c r="D22" s="1"/>
      <c r="E22" s="1"/>
      <c r="G22" s="18"/>
      <c r="H22" s="129"/>
      <c r="I22" s="8"/>
      <c r="J22" s="120" t="s">
        <v>269</v>
      </c>
      <c r="K22" s="120">
        <v>137.5</v>
      </c>
      <c r="L22" s="8"/>
    </row>
    <row r="23" spans="1:12" x14ac:dyDescent="0.25">
      <c r="A23" s="28"/>
      <c r="B23" s="1"/>
      <c r="C23" s="1"/>
      <c r="D23" s="1"/>
      <c r="E23" s="1"/>
      <c r="G23" s="156"/>
      <c r="H23" s="155" t="s">
        <v>308</v>
      </c>
      <c r="I23" s="8"/>
      <c r="J23" s="120" t="s">
        <v>270</v>
      </c>
      <c r="K23" s="158" t="s">
        <v>320</v>
      </c>
      <c r="L23" s="8"/>
    </row>
    <row r="24" spans="1:12" x14ac:dyDescent="0.25">
      <c r="A24" s="28"/>
      <c r="B24" s="1"/>
      <c r="C24" s="1"/>
      <c r="D24" s="1"/>
      <c r="E24" s="1"/>
      <c r="G24" s="18"/>
      <c r="H24" s="129"/>
      <c r="I24" s="8"/>
      <c r="J24" s="8"/>
      <c r="K24" s="8"/>
      <c r="L24" s="8"/>
    </row>
    <row r="25" spans="1:12" x14ac:dyDescent="0.25">
      <c r="A25" s="28"/>
      <c r="B25" s="1"/>
      <c r="C25" s="1"/>
      <c r="D25" s="1"/>
      <c r="E25" s="1"/>
      <c r="G25" s="18"/>
      <c r="H25" s="129"/>
      <c r="I25" s="8"/>
      <c r="J25" s="8"/>
      <c r="K25" s="8"/>
      <c r="L25" s="8"/>
    </row>
    <row r="26" spans="1:12" x14ac:dyDescent="0.25">
      <c r="A26" s="1" t="s">
        <v>221</v>
      </c>
      <c r="B26" s="1">
        <f>B10+D26</f>
        <v>402.15999999999997</v>
      </c>
      <c r="C26" s="1">
        <f>SUM(C10:C25)+D26</f>
        <v>152.15000000000003</v>
      </c>
      <c r="D26" s="136">
        <f>SUM(D10:D25)</f>
        <v>-100.35</v>
      </c>
      <c r="E26" s="1"/>
      <c r="G26" s="18"/>
      <c r="H26" s="129"/>
      <c r="I26" s="8"/>
      <c r="J26" s="8"/>
      <c r="K26" s="8"/>
      <c r="L26" s="8"/>
    </row>
    <row r="27" spans="1:12" x14ac:dyDescent="0.25">
      <c r="B27" s="8"/>
      <c r="C27" s="8"/>
      <c r="D27" s="8"/>
      <c r="E27" s="8"/>
      <c r="G27" s="18"/>
      <c r="H27" s="129"/>
      <c r="I27" s="8"/>
      <c r="J27" s="8"/>
      <c r="K27" s="8"/>
      <c r="L27" s="8"/>
    </row>
    <row r="28" spans="1:12" x14ac:dyDescent="0.25">
      <c r="G28" s="8"/>
      <c r="H28" s="8"/>
      <c r="I28" s="8"/>
      <c r="J28" s="8"/>
    </row>
    <row r="29" spans="1:12" x14ac:dyDescent="0.25">
      <c r="A29" s="123" t="s">
        <v>228</v>
      </c>
      <c r="B29" s="123" t="s">
        <v>309</v>
      </c>
      <c r="C29" s="138" t="s">
        <v>5</v>
      </c>
      <c r="D29" s="138" t="s">
        <v>311</v>
      </c>
      <c r="E29" s="143" t="s">
        <v>310</v>
      </c>
      <c r="F29" s="124" t="s">
        <v>220</v>
      </c>
      <c r="G29" s="125" t="s">
        <v>224</v>
      </c>
      <c r="H29" s="123" t="s">
        <v>319</v>
      </c>
      <c r="I29" s="143" t="s">
        <v>221</v>
      </c>
      <c r="J29" s="141" t="s">
        <v>225</v>
      </c>
      <c r="K29" s="123" t="s">
        <v>226</v>
      </c>
    </row>
    <row r="30" spans="1:12" x14ac:dyDescent="0.25">
      <c r="A30" s="126" t="s">
        <v>313</v>
      </c>
      <c r="B30" s="126" t="s">
        <v>308</v>
      </c>
      <c r="C30" s="139"/>
      <c r="D30" s="139"/>
      <c r="E30" s="139" t="s">
        <v>219</v>
      </c>
      <c r="F30" s="126" t="s">
        <v>222</v>
      </c>
      <c r="G30" s="142" t="s">
        <v>223</v>
      </c>
      <c r="H30" s="126" t="s">
        <v>315</v>
      </c>
      <c r="I30" s="153" t="s">
        <v>5</v>
      </c>
      <c r="J30" s="142"/>
      <c r="K30" s="126"/>
    </row>
    <row r="31" spans="1:12" x14ac:dyDescent="0.25">
      <c r="A31" s="11">
        <v>106944</v>
      </c>
      <c r="B31" s="147">
        <f>B10</f>
        <v>502.51</v>
      </c>
      <c r="C31" s="146">
        <f>I13</f>
        <v>27.830000000000002</v>
      </c>
      <c r="D31" s="145">
        <v>43580</v>
      </c>
      <c r="E31" s="43">
        <v>148.91</v>
      </c>
      <c r="F31" s="1">
        <v>216.1</v>
      </c>
      <c r="G31" s="1">
        <v>137.5</v>
      </c>
      <c r="H31" s="68">
        <f>B31</f>
        <v>502.51</v>
      </c>
      <c r="I31" s="29">
        <v>27.83</v>
      </c>
      <c r="J31" s="11"/>
      <c r="K31" s="11"/>
    </row>
    <row r="32" spans="1:12" x14ac:dyDescent="0.25">
      <c r="A32" s="1"/>
      <c r="B32" s="148">
        <v>-100.35</v>
      </c>
      <c r="C32" s="140">
        <f>(((B32*-1)*(1/J11)))* -1</f>
        <v>-5.5575819386678864</v>
      </c>
      <c r="D32" s="144">
        <v>44489</v>
      </c>
      <c r="E32" s="43">
        <f>E31+B32</f>
        <v>48.56</v>
      </c>
      <c r="F32" s="1">
        <v>216.1</v>
      </c>
      <c r="G32" s="1">
        <v>137.5</v>
      </c>
      <c r="H32" s="43">
        <f>E32+F32+G32</f>
        <v>402.15999999999997</v>
      </c>
      <c r="I32" s="43"/>
      <c r="J32" s="1"/>
      <c r="K32" s="1"/>
    </row>
    <row r="33" spans="1:11" x14ac:dyDescent="0.25">
      <c r="A33" s="28"/>
      <c r="B33" s="1"/>
      <c r="C33" s="1"/>
      <c r="D33" s="1"/>
      <c r="E33" s="1"/>
      <c r="F33" s="1"/>
      <c r="G33" s="1"/>
      <c r="H33" s="1"/>
      <c r="I33" s="1"/>
      <c r="J33" s="1"/>
      <c r="K33" s="1"/>
    </row>
    <row r="34" spans="1:11" x14ac:dyDescent="0.25">
      <c r="A34" s="28"/>
      <c r="B34" s="1"/>
      <c r="C34" s="1"/>
      <c r="D34" s="1"/>
      <c r="E34" s="1"/>
      <c r="F34" s="1"/>
      <c r="G34" s="1"/>
      <c r="H34" s="1"/>
      <c r="I34" s="1"/>
      <c r="J34" s="1"/>
      <c r="K34" s="1"/>
    </row>
    <row r="35" spans="1:11" x14ac:dyDescent="0.25">
      <c r="A35" s="28"/>
      <c r="B35" s="1"/>
      <c r="C35" s="1"/>
      <c r="D35" s="1"/>
      <c r="E35" s="1"/>
      <c r="F35" s="1"/>
      <c r="G35" s="1"/>
      <c r="H35" s="1"/>
      <c r="I35" s="1"/>
      <c r="J35" s="1"/>
      <c r="K35" s="1"/>
    </row>
    <row r="36" spans="1:11" x14ac:dyDescent="0.25">
      <c r="A36" s="28"/>
      <c r="B36" s="1"/>
      <c r="C36" s="1"/>
      <c r="D36" s="1"/>
      <c r="E36" s="1"/>
      <c r="F36" s="1"/>
      <c r="G36" s="1"/>
      <c r="H36" s="1"/>
      <c r="I36" s="1"/>
      <c r="J36" s="1"/>
      <c r="K36" s="1"/>
    </row>
    <row r="37" spans="1:11" x14ac:dyDescent="0.25">
      <c r="A37" s="28"/>
      <c r="B37" s="1"/>
      <c r="C37" s="1"/>
      <c r="D37" s="1"/>
      <c r="E37" s="1"/>
      <c r="F37" s="1"/>
      <c r="G37" s="1"/>
      <c r="H37" s="1"/>
      <c r="I37" s="1"/>
      <c r="J37" s="1"/>
      <c r="K37" s="1"/>
    </row>
    <row r="38" spans="1:11" x14ac:dyDescent="0.25">
      <c r="A38" s="28"/>
      <c r="B38" s="1"/>
      <c r="C38" s="1"/>
      <c r="D38" s="1"/>
      <c r="E38" s="1"/>
      <c r="F38" s="1"/>
      <c r="G38" s="1"/>
      <c r="H38" s="1"/>
      <c r="I38" s="1"/>
      <c r="J38" s="1"/>
      <c r="K38" s="1"/>
    </row>
    <row r="39" spans="1:11" x14ac:dyDescent="0.25">
      <c r="A39" s="28"/>
      <c r="B39" s="1"/>
      <c r="C39" s="1"/>
      <c r="D39" s="1"/>
      <c r="E39" s="1"/>
      <c r="F39" s="1"/>
      <c r="G39" s="1"/>
      <c r="H39" s="1"/>
      <c r="I39" s="1"/>
      <c r="J39" s="1"/>
      <c r="K39" s="1"/>
    </row>
    <row r="40" spans="1:11" x14ac:dyDescent="0.25">
      <c r="A40" s="28"/>
      <c r="B40" s="1"/>
      <c r="C40" s="1"/>
      <c r="D40" s="1"/>
      <c r="E40" s="1"/>
      <c r="F40" s="1"/>
      <c r="G40" s="1"/>
      <c r="H40" s="1"/>
      <c r="I40" s="1"/>
      <c r="J40" s="1"/>
      <c r="K40" s="1"/>
    </row>
    <row r="41" spans="1:11" x14ac:dyDescent="0.25">
      <c r="A41" s="28"/>
      <c r="B41" s="1"/>
      <c r="C41" s="1"/>
      <c r="D41" s="1"/>
      <c r="E41" s="1"/>
      <c r="F41" s="1"/>
      <c r="G41" s="1"/>
      <c r="H41" s="1"/>
      <c r="I41" s="1"/>
      <c r="J41" s="1"/>
      <c r="K41" s="1"/>
    </row>
    <row r="42" spans="1:11" x14ac:dyDescent="0.25">
      <c r="A42" s="28"/>
      <c r="B42" s="1"/>
      <c r="C42" s="1"/>
      <c r="D42" s="1"/>
      <c r="E42" s="1"/>
      <c r="F42" s="1"/>
      <c r="G42" s="1"/>
      <c r="H42" s="1"/>
      <c r="I42" s="1"/>
      <c r="J42" s="1"/>
      <c r="K42" s="1"/>
    </row>
    <row r="43" spans="1:11" x14ac:dyDescent="0.25">
      <c r="A43" s="28"/>
      <c r="B43" s="1"/>
      <c r="C43" s="1"/>
      <c r="D43" s="1"/>
      <c r="E43" s="1"/>
      <c r="F43" s="1"/>
      <c r="G43" s="1"/>
      <c r="H43" s="1"/>
      <c r="I43" s="1"/>
      <c r="J43" s="1"/>
      <c r="K43" s="1"/>
    </row>
    <row r="44" spans="1:11" x14ac:dyDescent="0.25">
      <c r="A44" s="28"/>
      <c r="B44" s="1"/>
      <c r="C44" s="1"/>
      <c r="D44" s="1"/>
      <c r="E44" s="1"/>
      <c r="F44" s="1"/>
      <c r="G44" s="1"/>
      <c r="H44" s="1"/>
      <c r="I44" s="1"/>
      <c r="J44" s="1"/>
      <c r="K44" s="1"/>
    </row>
    <row r="45" spans="1:11" x14ac:dyDescent="0.25">
      <c r="A45" s="28"/>
      <c r="B45" s="1"/>
      <c r="C45" s="1"/>
      <c r="D45" s="1"/>
      <c r="E45" s="1"/>
      <c r="F45" s="1"/>
      <c r="G45" s="1"/>
      <c r="H45" s="1"/>
      <c r="I45" s="1"/>
      <c r="J45" s="1"/>
      <c r="K45" s="1"/>
    </row>
    <row r="46" spans="1:11" x14ac:dyDescent="0.25">
      <c r="A46" s="28"/>
      <c r="B46" s="1"/>
      <c r="C46" s="1"/>
      <c r="D46" s="1"/>
      <c r="E46" s="1"/>
      <c r="F46" s="1"/>
      <c r="G46" s="1"/>
      <c r="H46" s="1"/>
      <c r="I46" s="1"/>
      <c r="J46" s="1"/>
      <c r="K46" s="1"/>
    </row>
    <row r="47" spans="1:11" x14ac:dyDescent="0.25">
      <c r="A47" s="1"/>
      <c r="B47" s="1"/>
      <c r="C47" s="1"/>
      <c r="D47" s="1"/>
      <c r="E47" s="1"/>
      <c r="F47" s="1"/>
      <c r="G47" s="1"/>
      <c r="H47" s="1"/>
      <c r="I47" s="1"/>
      <c r="J47" s="1"/>
      <c r="K47" s="1"/>
    </row>
    <row r="48" spans="1:11" x14ac:dyDescent="0.25">
      <c r="A48" s="1"/>
      <c r="B48" s="1"/>
      <c r="C48" s="1"/>
      <c r="D48" s="1"/>
      <c r="E48" s="1"/>
      <c r="F48" s="1"/>
      <c r="G48" s="1"/>
      <c r="H48" s="1"/>
      <c r="I48" s="1"/>
      <c r="J48" s="1"/>
      <c r="K48" s="1"/>
    </row>
    <row r="49" spans="1:11" x14ac:dyDescent="0.25">
      <c r="A49" s="1"/>
      <c r="B49" s="1"/>
      <c r="C49" s="1"/>
      <c r="D49" s="1"/>
      <c r="E49" s="1"/>
      <c r="F49" s="1"/>
      <c r="G49" s="1"/>
      <c r="H49" s="1"/>
      <c r="I49" s="1"/>
      <c r="J49" s="1"/>
      <c r="K49" s="1"/>
    </row>
    <row r="50" spans="1:11" x14ac:dyDescent="0.25">
      <c r="A50" s="1"/>
      <c r="B50" s="1"/>
      <c r="C50" s="1"/>
      <c r="D50" s="1"/>
      <c r="E50" s="1"/>
      <c r="F50" s="1"/>
      <c r="G50" s="1"/>
      <c r="H50" s="1"/>
      <c r="I50" s="1"/>
      <c r="J50" s="1"/>
      <c r="K50" s="1"/>
    </row>
    <row r="51" spans="1:11" x14ac:dyDescent="0.25">
      <c r="A51" s="1"/>
      <c r="B51" s="1"/>
      <c r="C51" s="1"/>
      <c r="D51" s="1"/>
      <c r="E51" s="1"/>
      <c r="F51" s="1"/>
      <c r="G51" s="1"/>
      <c r="H51" s="1"/>
      <c r="I51" s="1"/>
      <c r="J51" s="1"/>
      <c r="K51" s="1"/>
    </row>
    <row r="52" spans="1:11" x14ac:dyDescent="0.25">
      <c r="A52" s="1"/>
      <c r="B52" s="1"/>
      <c r="C52" s="1"/>
      <c r="D52" s="1"/>
      <c r="E52" s="1"/>
      <c r="F52" s="1"/>
      <c r="G52" s="1"/>
      <c r="H52" s="1"/>
      <c r="I52" s="1"/>
      <c r="J52" s="1"/>
      <c r="K52"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HEA_A</vt:lpstr>
      <vt:lpstr>HEA_B</vt:lpstr>
      <vt:lpstr>HEA_C</vt:lpstr>
      <vt:lpstr>HEA_D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John</cp:lastModifiedBy>
  <dcterms:created xsi:type="dcterms:W3CDTF">2021-10-05T08:10:11Z</dcterms:created>
  <dcterms:modified xsi:type="dcterms:W3CDTF">2021-12-29T00:25:22Z</dcterms:modified>
</cp:coreProperties>
</file>